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85" windowHeight="11670" activeTab="4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<sst xmlns="http://schemas.openxmlformats.org/spreadsheetml/2006/main" count="927" uniqueCount="441">
  <si>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</si>
  <si>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</si>
  <si>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</si>
  <si>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</si>
  <si>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</si>
  <si>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</si>
  <si>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</si>
  <si>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</si>
  <si>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</si>
  <si>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</si>
  <si>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</si>
  <si>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</si>
  <si>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</si>
  <si>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</si>
  <si>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</si>
  <si>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</si>
  <si>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</si>
  <si>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</si>
  <si>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</si>
  <si>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</si>
  <si>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</si>
  <si>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</si>
  <si>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</si>
  <si>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</si>
  <si>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</si>
  <si>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</si>
  <si>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</si>
  <si>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</si>
  <si>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</si>
  <si>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</si>
  <si>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</si>
  <si>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</si>
  <si>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</si>
  <si>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</si>
  <si>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</si>
  <si>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</si>
  <si>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</si>
  <si>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</si>
  <si>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</si>
  <si>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</si>
  <si>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</si>
  <si>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</si>
  <si>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</si>
  <si>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</si>
  <si>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</si>
  <si>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</si>
  <si>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</si>
  <si>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</si>
  <si>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</si>
  <si>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</si>
  <si>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</si>
  <si>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</si>
  <si>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</si>
  <si>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</si>
  <si>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</si>
  <si>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</si>
  <si>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</si>
  <si>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</si>
  <si>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</si>
  <si>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</si>
  <si>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</si>
  <si>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</si>
  <si>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</si>
  <si>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</si>
  <si>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</si>
  <si>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</si>
  <si>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</si>
  <si>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</si>
  <si>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</si>
  <si>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</si>
  <si>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</si>
  <si>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</si>
  <si>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</si>
  <si>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</si>
  <si>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</si>
  <si>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</si>
  <si>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</si>
  <si>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</si>
  <si>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</si>
  <si>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</si>
  <si>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</si>
  <si>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</si>
  <si>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</si>
  <si>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</si>
  <si>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</si>
  <si>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</si>
  <si>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</si>
  <si>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</si>
  <si>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</si>
  <si>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</si>
  <si>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</si>
  <si>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</si>
  <si>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</si>
  <si>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</si>
  <si>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</si>
  <si>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</si>
  <si>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</si>
  <si>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</si>
  <si>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</si>
  <si>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</si>
  <si>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</si>
  <si>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</si>
  <si>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</si>
  <si>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</si>
  <si>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</si>
  <si>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</si>
  <si>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</si>
  <si>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</si>
  <si>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</si>
  <si>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</si>
  <si>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</si>
  <si>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</si>
  <si>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</si>
  <si>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</si>
  <si>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</si>
  <si>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</si>
  <si>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</si>
  <si>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</si>
  <si>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</si>
  <si>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</si>
  <si>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</si>
  <si>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</si>
  <si>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</si>
  <si>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</si>
  <si>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</si>
  <si>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</si>
  <si>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</si>
  <si>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</si>
  <si>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</si>
  <si>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</si>
  <si>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</si>
  <si>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</si>
  <si>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</si>
  <si>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</si>
  <si>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</si>
  <si>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</si>
  <si>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</si>
  <si>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</si>
  <si>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</si>
  <si>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</si>
  <si>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</si>
  <si>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</si>
  <si>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</si>
  <si>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</si>
  <si>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</si>
  <si>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</si>
  <si>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</si>
  <si>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</si>
  <si>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</si>
  <si>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РП-3Х, 10/0,4кВ, кв.17П, (2х630)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</si>
  <si>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</si>
  <si>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</si>
  <si>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№</t>
  </si>
  <si>
    <t>факт.макс. Нагр., МВт</t>
  </si>
  <si>
    <t>Источник (ГПП)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</si>
  <si>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</si>
  <si>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</si>
  <si>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</si>
  <si>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</si>
  <si>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</si>
  <si>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</si>
  <si>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</si>
  <si>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</si>
  <si>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</si>
  <si>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</si>
  <si>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</si>
  <si>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</si>
  <si>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</si>
  <si>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</si>
  <si>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</si>
  <si>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</si>
  <si>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</si>
  <si>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</si>
  <si>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</si>
  <si>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</si>
  <si>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</si>
  <si>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</si>
  <si>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</si>
  <si>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</si>
  <si>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</si>
  <si>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</si>
  <si>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</si>
  <si>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</si>
  <si>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</si>
  <si>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</si>
  <si>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</si>
  <si>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</si>
  <si>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</si>
  <si>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</si>
  <si>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</si>
  <si>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</si>
  <si>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</si>
  <si>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</si>
  <si>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</si>
  <si>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</si>
  <si>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</si>
  <si>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</si>
  <si>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</si>
  <si>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</si>
  <si>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</si>
  <si>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</si>
  <si>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</si>
  <si>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</si>
  <si>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</si>
  <si>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</si>
  <si>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</si>
  <si>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</si>
  <si>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</si>
  <si>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</si>
  <si>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</si>
  <si>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</si>
  <si>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</si>
  <si>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</si>
  <si>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</si>
  <si>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</si>
  <si>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</si>
  <si>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</si>
  <si>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</si>
  <si>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</si>
  <si>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</si>
  <si>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</si>
  <si>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</si>
  <si>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</si>
  <si>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</si>
  <si>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</si>
  <si>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</si>
  <si>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</si>
  <si>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</si>
  <si>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</si>
  <si>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</si>
  <si>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</si>
  <si>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</si>
  <si>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</si>
  <si>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</si>
  <si>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</si>
  <si>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</si>
  <si>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</si>
  <si>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</si>
  <si>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ТП-12</t>
  </si>
  <si>
    <t>ТП-13</t>
  </si>
  <si>
    <t>РП-1</t>
  </si>
  <si>
    <t>ТП-21</t>
  </si>
  <si>
    <t>ТП-22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</si>
  <si>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</si>
  <si>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</si>
  <si>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</si>
  <si>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</si>
  <si>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</si>
  <si>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</si>
  <si>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</si>
  <si>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</si>
  <si>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</si>
  <si>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</si>
  <si>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</si>
  <si>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</si>
  <si>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</si>
  <si>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</si>
  <si>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</si>
  <si>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</si>
  <si>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</si>
  <si>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</si>
  <si>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</si>
  <si>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</si>
  <si>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</si>
  <si>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</si>
  <si>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</si>
  <si>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</si>
  <si>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</si>
  <si>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</si>
  <si>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</si>
  <si>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</si>
  <si>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</si>
  <si>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</si>
  <si>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</si>
  <si>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</si>
  <si>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</si>
  <si>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</si>
  <si>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</si>
  <si>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</si>
  <si>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</si>
  <si>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</si>
  <si>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</si>
  <si>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</si>
  <si>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</si>
  <si>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</si>
  <si>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</si>
  <si>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</si>
  <si>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</si>
  <si>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</si>
  <si>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</si>
  <si>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</si>
  <si>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КТПН-111</t>
  </si>
  <si>
    <t>КТПН-112</t>
  </si>
  <si>
    <t>КТПН-112а</t>
  </si>
  <si>
    <t>КТПН-114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</si>
  <si>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</si>
  <si>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</si>
  <si>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</si>
  <si>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</si>
  <si>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</si>
  <si>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</si>
  <si>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</si>
  <si>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</si>
  <si>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</si>
  <si>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</si>
  <si>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</si>
  <si>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</si>
  <si>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КТПН-141</t>
  </si>
  <si>
    <t>КТПН-145</t>
  </si>
  <si>
    <t>КТПН-148</t>
  </si>
  <si>
    <t>КТПН-151</t>
  </si>
  <si>
    <t>КТПН-152</t>
  </si>
  <si>
    <t>КТПН-153</t>
  </si>
  <si>
    <t>КТПН-155</t>
  </si>
  <si>
    <t>КТПН-157</t>
  </si>
  <si>
    <t>КТПН-160</t>
  </si>
  <si>
    <t>КТПН-161</t>
  </si>
  <si>
    <t>КТПН-169</t>
  </si>
  <si>
    <t>КТПН-170</t>
  </si>
  <si>
    <t>КТПН-171</t>
  </si>
  <si>
    <t>КТПН-36</t>
  </si>
  <si>
    <t>РП-3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</si>
  <si>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</si>
  <si>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</si>
  <si>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</si>
  <si>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</si>
  <si>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</si>
  <si>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</si>
  <si>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</si>
  <si>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</si>
  <si>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</si>
  <si>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</si>
  <si>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</si>
  <si>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</si>
  <si>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</si>
  <si>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</si>
  <si>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</si>
  <si>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</si>
  <si>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</si>
  <si>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</si>
  <si>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</si>
  <si>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</si>
  <si>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</si>
  <si>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</si>
  <si>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</si>
  <si>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</si>
  <si>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</si>
  <si>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</si>
  <si>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</si>
  <si>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</si>
  <si>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</si>
  <si>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</si>
  <si>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</si>
  <si>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</si>
  <si>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</si>
  <si>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</si>
  <si>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</si>
  <si>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</si>
  <si>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</si>
  <si>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</si>
  <si>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</si>
  <si>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</si>
  <si>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</si>
  <si>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</si>
  <si>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КТПН-62</t>
  </si>
  <si>
    <t>КТПН-62А</t>
  </si>
  <si>
    <t>КТПН-63</t>
  </si>
  <si>
    <t>КТПН-65</t>
  </si>
  <si>
    <t>КТПН-67</t>
  </si>
  <si>
    <t>КТПН-69</t>
  </si>
  <si>
    <t>КТПН-71</t>
  </si>
  <si>
    <t>КТПН-76</t>
  </si>
  <si>
    <t>КТПН-77</t>
  </si>
  <si>
    <t>КТПН-110</t>
  </si>
  <si>
    <t>КТПН-115</t>
  </si>
  <si>
    <t>КТПН-116</t>
  </si>
  <si>
    <t>2х630</t>
  </si>
  <si>
    <t>2х1000</t>
  </si>
  <si>
    <t>2х1000+2х630</t>
  </si>
  <si>
    <t>2х400</t>
  </si>
  <si>
    <t>2х160</t>
  </si>
  <si>
    <t>2х250</t>
  </si>
  <si>
    <t>Факт.макс. нагр., МВт</t>
  </si>
  <si>
    <t>РП-СТПС, 10/0,4кВ, Магистраль, (2х630)</t>
  </si>
  <si>
    <t>ТП-14</t>
  </si>
  <si>
    <t>ТП-78</t>
  </si>
  <si>
    <t>1х400+1х250</t>
  </si>
  <si>
    <t>КТП-110</t>
  </si>
  <si>
    <t>1*630+1*400</t>
  </si>
  <si>
    <t>КТП-113</t>
  </si>
  <si>
    <t>ТП-115а</t>
  </si>
  <si>
    <t>КТП-140</t>
  </si>
  <si>
    <t>КТПН-145А</t>
  </si>
  <si>
    <t>КТПН-147</t>
  </si>
  <si>
    <t>ТП-156</t>
  </si>
  <si>
    <t>КТПН-173</t>
  </si>
  <si>
    <t>КТПН-174</t>
  </si>
  <si>
    <t>РП-4</t>
  </si>
  <si>
    <t>КТПМ-60</t>
  </si>
  <si>
    <t>КТПН-68</t>
  </si>
  <si>
    <t>КТПН-79А</t>
  </si>
  <si>
    <t>КТПН-83</t>
  </si>
  <si>
    <t>КТПН-92</t>
  </si>
  <si>
    <t>ТП-98</t>
  </si>
  <si>
    <t>КТПМ-100</t>
  </si>
  <si>
    <t>Анализ нагрузки центров питания 35кВ и ниже АО "Горэлектросеть" г. Нижневартовска. 
Наличие свободной для технологического присоединения мощности с дифференциацией по уровням напряжения.</t>
  </si>
  <si>
    <t xml:space="preserve">по состоянию на 01.10.2022 и замерам 2019-2021 г.г.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</si>
  <si>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01.10.2022.  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</si>
  <si>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</si>
  <si>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</si>
  <si>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</si>
  <si>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</si>
  <si>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</si>
  <si>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</si>
  <si>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</si>
  <si>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</si>
  <si>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</si>
  <si>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</si>
  <si>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</si>
  <si>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</si>
  <si>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</si>
  <si>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</si>
  <si>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-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</si>
  <si>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</si>
  <si>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</si>
  <si>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</si>
  <si>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</si>
  <si>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16.12.202  7:00:00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</si>
  <si>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</si>
  <si>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</si>
  <si>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</si>
  <si>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</si>
  <si>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</si>
  <si>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</si>
  <si>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</si>
  <si>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</si>
  <si>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</si>
  <si>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</si>
  <si>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</si>
  <si>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01.10.2022</t>
  </si>
  <si>
    <t>по состоянию на 01.10.2022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</si>
</sst>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\ h:mm;@"/>
    <numFmt numFmtId="183" formatCode="0.E+00"/>
    <numFmt numFmtId="184" formatCode="[$-FC19]d\ mmmm\ yyyy\ &quot;г.&quot;"/>
    <numFmt numFmtId="185" formatCode="0.000"/>
    <numFmt numFmtId="186" formatCode="0.0"/>
    <numFmt numFmtId="187" formatCode="0.0000"/>
    <numFmt numFmtId="188" formatCode="dd&quot;.&quot;mm&quot;.&quot;yyyy&quot; &quot;h&quot;:&quot;mm"/>
    <numFmt numFmtId="189" formatCode="0.00000"/>
  </numFmts>
  <fonts count="6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Times New Roman"/>
      <family val="1"/>
    </font>
    <font>
      <sz val="8"/>
      <color theme="1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5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13" xfId="0" applyFont="1" applyBorder="1" applyAlignment="1">
      <alignment horizontal="center"/>
    </xf>
    <xf numFmtId="185" fontId="52" fillId="0" borderId="0" xfId="0" applyNumberFormat="1" applyFont="1" applyFill="1" applyAlignment="1">
      <alignment horizontal="center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2" fontId="6" fillId="35" borderId="18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/>
    </xf>
    <xf numFmtId="185" fontId="3" fillId="5" borderId="14" xfId="0" applyNumberFormat="1" applyFont="1" applyFill="1" applyBorder="1" applyAlignment="1">
      <alignment horizontal="center"/>
    </xf>
    <xf numFmtId="185" fontId="4" fillId="5" borderId="12" xfId="0" applyNumberFormat="1" applyFont="1" applyFill="1" applyBorder="1" applyAlignment="1">
      <alignment horizontal="center"/>
    </xf>
    <xf numFmtId="185" fontId="3" fillId="5" borderId="10" xfId="0" applyNumberFormat="1" applyFont="1" applyFill="1" applyBorder="1" applyAlignment="1">
      <alignment horizontal="center"/>
    </xf>
    <xf numFmtId="185" fontId="4" fillId="5" borderId="15" xfId="0" applyNumberFormat="1" applyFont="1" applyFill="1" applyBorder="1" applyAlignment="1">
      <alignment horizontal="center"/>
    </xf>
    <xf numFmtId="185" fontId="4" fillId="5" borderId="10" xfId="0" applyNumberFormat="1" applyFont="1" applyFill="1" applyBorder="1" applyAlignment="1">
      <alignment horizontal="center"/>
    </xf>
    <xf numFmtId="185" fontId="4" fillId="5" borderId="16" xfId="0" applyNumberFormat="1" applyFont="1" applyFill="1" applyBorder="1" applyAlignment="1">
      <alignment horizontal="center"/>
    </xf>
    <xf numFmtId="185" fontId="3" fillId="5" borderId="18" xfId="0" applyNumberFormat="1" applyFont="1" applyFill="1" applyBorder="1" applyAlignment="1">
      <alignment horizontal="center"/>
    </xf>
    <xf numFmtId="185" fontId="3" fillId="5" borderId="15" xfId="0" applyNumberFormat="1" applyFont="1" applyFill="1" applyBorder="1" applyAlignment="1">
      <alignment horizontal="center"/>
    </xf>
    <xf numFmtId="185" fontId="3" fillId="5" borderId="13" xfId="0" applyNumberFormat="1" applyFont="1" applyFill="1" applyBorder="1" applyAlignment="1">
      <alignment horizontal="center"/>
    </xf>
    <xf numFmtId="185" fontId="4" fillId="5" borderId="14" xfId="0" applyNumberFormat="1" applyFont="1" applyFill="1" applyBorder="1" applyAlignment="1">
      <alignment horizontal="center"/>
    </xf>
    <xf numFmtId="185" fontId="3" fillId="5" borderId="12" xfId="0" applyNumberFormat="1" applyFont="1" applyFill="1" applyBorder="1" applyAlignment="1">
      <alignment horizontal="center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5" fontId="3" fillId="0" borderId="11" xfId="0" applyNumberFormat="1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86" fontId="0" fillId="34" borderId="22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 horizontal="right"/>
    </xf>
    <xf numFmtId="186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 horizontal="right"/>
    </xf>
    <xf numFmtId="0" fontId="0" fillId="34" borderId="22" xfId="0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wrapText="1"/>
    </xf>
    <xf numFmtId="185" fontId="3" fillId="5" borderId="11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0" fontId="59" fillId="34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2" fontId="59" fillId="36" borderId="22" xfId="0" applyNumberFormat="1" applyFont="1" applyFill="1" applyBorder="1" applyAlignment="1">
      <alignment horizontal="center" vertical="center" wrapText="1"/>
    </xf>
    <xf numFmtId="2" fontId="59" fillId="36" borderId="25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4" fillId="0" borderId="32" xfId="0" applyNumberFormat="1" applyFont="1" applyFill="1" applyBorder="1" applyAlignment="1">
      <alignment horizontal="center" vertical="center" wrapText="1"/>
    </xf>
    <xf numFmtId="182" fontId="4" fillId="0" borderId="3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85" fontId="2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2" fontId="4" fillId="0" borderId="4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59" fillId="34" borderId="47" xfId="0" applyFont="1" applyFill="1" applyBorder="1" applyAlignment="1">
      <alignment horizontal="center" vertical="center"/>
    </xf>
    <xf numFmtId="0" fontId="59" fillId="34" borderId="48" xfId="0" applyFont="1" applyFill="1" applyBorder="1" applyAlignment="1">
      <alignment horizontal="center" vertical="center"/>
    </xf>
    <xf numFmtId="0" fontId="59" fillId="34" borderId="47" xfId="0" applyFont="1" applyFill="1" applyBorder="1" applyAlignment="1">
      <alignment horizontal="center" vertical="center" wrapText="1"/>
    </xf>
    <xf numFmtId="0" fontId="59" fillId="34" borderId="48" xfId="0" applyFont="1" applyFill="1" applyBorder="1" applyAlignment="1">
      <alignment horizontal="center" vertical="center" wrapText="1"/>
    </xf>
    <xf numFmtId="0" fontId="59" fillId="34" borderId="49" xfId="0" applyFont="1" applyFill="1" applyBorder="1" applyAlignment="1">
      <alignment horizontal="center" vertical="center" wrapText="1"/>
    </xf>
    <xf numFmtId="0" fontId="59" fillId="34" borderId="50" xfId="0" applyFont="1" applyFill="1" applyBorder="1" applyAlignment="1">
      <alignment horizontal="center" vertical="center" wrapText="1"/>
    </xf>
    <xf numFmtId="188" fontId="59" fillId="34" borderId="47" xfId="0" applyNumberFormat="1" applyFont="1" applyFill="1" applyBorder="1" applyAlignment="1">
      <alignment horizontal="center" vertical="center" wrapText="1"/>
    </xf>
    <xf numFmtId="188" fontId="59" fillId="34" borderId="48" xfId="0" applyNumberFormat="1" applyFont="1" applyFill="1" applyBorder="1" applyAlignment="1">
      <alignment horizontal="center" vertical="center" wrapText="1"/>
    </xf>
    <xf numFmtId="0" fontId="59" fillId="34" borderId="5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5" xfId="52" applyFont="1" applyBorder="1" applyAlignment="1">
      <alignment horizontal="center" vertical="center"/>
      <protection/>
    </xf>
    <xf numFmtId="0" fontId="5" fillId="0" borderId="52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52" xfId="52" applyFont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52" xfId="52" applyFont="1" applyFill="1" applyBorder="1" applyAlignment="1">
      <alignment horizontal="center" vertical="center" wrapText="1"/>
      <protection/>
    </xf>
    <xf numFmtId="0" fontId="60" fillId="0" borderId="53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14" fontId="61" fillId="0" borderId="23" xfId="0" applyNumberFormat="1" applyFont="1" applyBorder="1" applyAlignment="1">
      <alignment horizontal="center" vertical="center" wrapText="1"/>
    </xf>
    <xf numFmtId="14" fontId="61" fillId="0" borderId="24" xfId="0" applyNumberFormat="1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5" fillId="0" borderId="23" xfId="0" applyFont="1" applyBorder="1" applyAlignment="1">
      <alignment vertical="center" wrapText="1"/>
    </xf>
    <xf numFmtId="0" fontId="55" fillId="0" borderId="24" xfId="0" applyFont="1" applyBorder="1" applyAlignment="1">
      <alignment vertical="center" wrapText="1"/>
    </xf>
    <xf numFmtId="0" fontId="55" fillId="33" borderId="23" xfId="0" applyFont="1" applyFill="1" applyBorder="1" applyAlignment="1">
      <alignment vertical="center" wrapText="1"/>
    </xf>
    <xf numFmtId="0" fontId="55" fillId="33" borderId="24" xfId="0" applyFont="1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d16\AppData\Local\Microsoft\Windows\INetCache\Content.Outlook\XJRX4D2E\&#1075;&#1101;&#1089;\&#1088;&#1072;&#1089;&#1089;&#1095;&#1077;&#1090;&#1085;&#1072;&#1103;%20&#1092;&#1086;&#1088;&#1084;&#1072;%20&#1072;&#1085;&#1072;&#1083;&#1080;&#1079;%20&#1085;&#1072;&#1075;&#1088;&#1091;&#1079;&#1082;&#1080;%20&#1094;&#1077;&#1085;&#1090;&#1088;&#1086;&#1074;%20&#1087;&#1080;&#1090;&#1072;&#1085;&#1080;&#1103;%20-%20&#1076;&#1083;&#1103;%20&#1089;&#1072;&#1081;&#1090;&#1072;%201&#1082;&#1074;.%202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7">
          <cell r="N7">
            <v>44137.791666666664</v>
          </cell>
        </row>
        <row r="17">
          <cell r="N17">
            <v>43986.791666666664</v>
          </cell>
        </row>
        <row r="25">
          <cell r="N25">
            <v>44195</v>
          </cell>
        </row>
        <row r="31">
          <cell r="N31">
            <v>44151.791666666664</v>
          </cell>
        </row>
        <row r="37">
          <cell r="N37">
            <v>44168.625</v>
          </cell>
        </row>
        <row r="39">
          <cell r="N39">
            <v>44193.708333333336</v>
          </cell>
        </row>
        <row r="41">
          <cell r="N41">
            <v>44170.541666666664</v>
          </cell>
        </row>
        <row r="43">
          <cell r="N43">
            <v>44192.708333333336</v>
          </cell>
        </row>
        <row r="55">
          <cell r="N55">
            <v>43475.625</v>
          </cell>
        </row>
        <row r="57">
          <cell r="N57">
            <v>44193.583333333336</v>
          </cell>
        </row>
        <row r="59">
          <cell r="N59">
            <v>43859.708333333336</v>
          </cell>
        </row>
        <row r="61">
          <cell r="N61">
            <v>43986.5</v>
          </cell>
        </row>
        <row r="65">
          <cell r="N65">
            <v>44193.458333333336</v>
          </cell>
        </row>
        <row r="67">
          <cell r="N67">
            <v>44190.625</v>
          </cell>
        </row>
        <row r="68">
          <cell r="N68">
            <v>43860.416666666664</v>
          </cell>
        </row>
        <row r="74">
          <cell r="N74">
            <v>43497.75</v>
          </cell>
        </row>
        <row r="76">
          <cell r="N76">
            <v>44192.75</v>
          </cell>
        </row>
        <row r="78">
          <cell r="N78">
            <v>44192.75</v>
          </cell>
        </row>
        <row r="80">
          <cell r="N80">
            <v>44070</v>
          </cell>
        </row>
        <row r="84">
          <cell r="N84">
            <v>44168.791666666664</v>
          </cell>
        </row>
        <row r="86">
          <cell r="N86">
            <v>43496.375</v>
          </cell>
        </row>
        <row r="93">
          <cell r="N93">
            <v>43500.458333333336</v>
          </cell>
        </row>
        <row r="95">
          <cell r="N95">
            <v>43509.708333333336</v>
          </cell>
        </row>
        <row r="98">
          <cell r="N98">
            <v>43502.416666666664</v>
          </cell>
        </row>
        <row r="100">
          <cell r="N100">
            <v>43497.541666666664</v>
          </cell>
        </row>
        <row r="102">
          <cell r="N102">
            <v>43731.458333333336</v>
          </cell>
        </row>
        <row r="108">
          <cell r="N108">
            <v>43498.791666666664</v>
          </cell>
        </row>
        <row r="112">
          <cell r="N112">
            <v>43497.875</v>
          </cell>
        </row>
        <row r="116">
          <cell r="N116">
            <v>43700.833333333336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7" sqref="F17"/>
    </sheetView>
  </sheetViews>
  <sheetFormatPr defaultColWidth="9.140625" defaultRowHeight="12.75"/>
  <cols>
    <col min="1" max="1" width="5.00390625" style="9" customWidth="1"/>
    <col min="2" max="2" width="9.7109375" style="65" customWidth="1"/>
    <col min="3" max="3" width="16.140625" style="65" customWidth="1"/>
    <col min="4" max="4" width="8.7109375" style="9" customWidth="1"/>
    <col min="5" max="5" width="10.8515625" style="63" customWidth="1"/>
    <col min="6" max="6" width="9.7109375" style="70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10" ht="39" customHeight="1">
      <c r="A1" s="123" t="s">
        <v>405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3.5" customHeight="1">
      <c r="A2" s="10"/>
      <c r="B2" s="66"/>
      <c r="C2" s="66"/>
      <c r="D2" s="66"/>
      <c r="E2" s="66"/>
      <c r="F2" s="71"/>
      <c r="G2" s="66"/>
      <c r="H2" s="66"/>
      <c r="I2" s="66"/>
      <c r="J2" s="66"/>
    </row>
    <row r="3" spans="1:9" ht="13.5" customHeight="1" thickBot="1">
      <c r="A3" s="126" t="s">
        <v>406</v>
      </c>
      <c r="B3" s="126"/>
      <c r="C3" s="126"/>
      <c r="D3" s="126"/>
      <c r="E3" s="126"/>
      <c r="F3" s="126"/>
      <c r="G3" s="126"/>
      <c r="H3" s="126"/>
      <c r="I3" s="126"/>
    </row>
    <row r="4" spans="1:14" ht="12.75" customHeight="1">
      <c r="A4" s="129" t="s">
        <v>86</v>
      </c>
      <c r="B4" s="131" t="s">
        <v>71</v>
      </c>
      <c r="C4" s="132"/>
      <c r="D4" s="134" t="s">
        <v>64</v>
      </c>
      <c r="E4" s="134" t="s">
        <v>79</v>
      </c>
      <c r="F4" s="124" t="s">
        <v>382</v>
      </c>
      <c r="G4" s="144" t="s">
        <v>83</v>
      </c>
      <c r="H4" s="124" t="s">
        <v>80</v>
      </c>
      <c r="I4" s="124" t="s">
        <v>88</v>
      </c>
      <c r="J4" s="146" t="s">
        <v>87</v>
      </c>
      <c r="K4" s="148"/>
      <c r="L4" s="11"/>
      <c r="M4" s="11"/>
      <c r="N4" s="138"/>
    </row>
    <row r="5" spans="1:14" ht="71.25" customHeight="1" thickBot="1">
      <c r="A5" s="130"/>
      <c r="B5" s="133"/>
      <c r="C5" s="133"/>
      <c r="D5" s="135"/>
      <c r="E5" s="135"/>
      <c r="F5" s="125"/>
      <c r="G5" s="145"/>
      <c r="H5" s="125"/>
      <c r="I5" s="125"/>
      <c r="J5" s="147"/>
      <c r="K5" s="148"/>
      <c r="L5" s="11"/>
      <c r="M5" s="11"/>
      <c r="N5" s="138"/>
    </row>
    <row r="6" spans="1:11" s="6" customFormat="1" ht="18.75" customHeight="1">
      <c r="A6" s="136" t="s">
        <v>0</v>
      </c>
      <c r="B6" s="131" t="s">
        <v>96</v>
      </c>
      <c r="C6" s="131"/>
      <c r="D6" s="12" t="s">
        <v>58</v>
      </c>
      <c r="E6" s="13">
        <v>10</v>
      </c>
      <c r="F6" s="91">
        <v>4.063</v>
      </c>
      <c r="G6" s="91">
        <v>0.241</v>
      </c>
      <c r="H6" s="14">
        <v>5.696000000000001</v>
      </c>
      <c r="I6" s="140" t="s">
        <v>84</v>
      </c>
      <c r="J6" s="142">
        <f>'[1]Лист3'!N7</f>
        <v>44137.791666666664</v>
      </c>
      <c r="K6" s="16"/>
    </row>
    <row r="7" spans="1:11" ht="18.75" customHeight="1" thickBot="1">
      <c r="A7" s="137"/>
      <c r="B7" s="139"/>
      <c r="C7" s="139"/>
      <c r="D7" s="17" t="s">
        <v>63</v>
      </c>
      <c r="E7" s="18">
        <v>1.4</v>
      </c>
      <c r="F7" s="92">
        <v>0.022</v>
      </c>
      <c r="G7" s="92">
        <v>0.039</v>
      </c>
      <c r="H7" s="20">
        <v>1.339</v>
      </c>
      <c r="I7" s="141"/>
      <c r="J7" s="143"/>
      <c r="K7" s="16"/>
    </row>
    <row r="8" spans="1:11" s="6" customFormat="1" ht="18.75" customHeight="1">
      <c r="A8" s="136" t="s">
        <v>1</v>
      </c>
      <c r="B8" s="131" t="s">
        <v>97</v>
      </c>
      <c r="C8" s="131"/>
      <c r="D8" s="12" t="s">
        <v>58</v>
      </c>
      <c r="E8" s="21">
        <v>10</v>
      </c>
      <c r="F8" s="93">
        <v>2.854</v>
      </c>
      <c r="G8" s="93">
        <v>0.722</v>
      </c>
      <c r="H8" s="14">
        <v>6.4239999999999995</v>
      </c>
      <c r="I8" s="140" t="s">
        <v>72</v>
      </c>
      <c r="J8" s="142">
        <v>44224.458333333336</v>
      </c>
      <c r="K8" s="16"/>
    </row>
    <row r="9" spans="1:11" ht="18.75" customHeight="1" thickBot="1">
      <c r="A9" s="137"/>
      <c r="B9" s="139"/>
      <c r="C9" s="139"/>
      <c r="D9" s="17" t="s">
        <v>63</v>
      </c>
      <c r="E9" s="18">
        <v>0.56</v>
      </c>
      <c r="F9" s="92">
        <v>0.438</v>
      </c>
      <c r="G9" s="92">
        <v>0.005</v>
      </c>
      <c r="H9" s="20">
        <v>0.11700000000000005</v>
      </c>
      <c r="I9" s="141"/>
      <c r="J9" s="143"/>
      <c r="K9" s="16"/>
    </row>
    <row r="10" spans="1:11" s="6" customFormat="1" ht="18.75" customHeight="1">
      <c r="A10" s="149" t="s">
        <v>2</v>
      </c>
      <c r="B10" s="150" t="s">
        <v>98</v>
      </c>
      <c r="C10" s="150"/>
      <c r="D10" s="22" t="s">
        <v>58</v>
      </c>
      <c r="E10" s="23">
        <v>10</v>
      </c>
      <c r="F10" s="91">
        <v>4.272</v>
      </c>
      <c r="G10" s="91">
        <v>0.164</v>
      </c>
      <c r="H10" s="24">
        <v>5.564</v>
      </c>
      <c r="I10" s="140" t="s">
        <v>75</v>
      </c>
      <c r="J10" s="142">
        <v>44221.791666666664</v>
      </c>
      <c r="K10" s="16"/>
    </row>
    <row r="11" spans="1:12" ht="18.75" customHeight="1" thickBot="1">
      <c r="A11" s="137"/>
      <c r="B11" s="139"/>
      <c r="C11" s="139"/>
      <c r="D11" s="17" t="s">
        <v>63</v>
      </c>
      <c r="E11" s="18">
        <v>0.882</v>
      </c>
      <c r="F11" s="92">
        <v>0.461</v>
      </c>
      <c r="G11" s="92">
        <v>1.425</v>
      </c>
      <c r="H11" s="20">
        <v>0</v>
      </c>
      <c r="I11" s="141"/>
      <c r="J11" s="143"/>
      <c r="K11" s="16"/>
      <c r="L11" s="25"/>
    </row>
    <row r="12" spans="1:11" s="28" customFormat="1" ht="18.75" customHeight="1">
      <c r="A12" s="136" t="s">
        <v>3</v>
      </c>
      <c r="B12" s="131" t="s">
        <v>99</v>
      </c>
      <c r="C12" s="131"/>
      <c r="D12" s="26" t="s">
        <v>58</v>
      </c>
      <c r="E12" s="27">
        <v>10</v>
      </c>
      <c r="F12" s="93">
        <v>5.885</v>
      </c>
      <c r="G12" s="93">
        <v>1.454</v>
      </c>
      <c r="H12" s="14">
        <v>2.6610000000000005</v>
      </c>
      <c r="I12" s="140" t="s">
        <v>82</v>
      </c>
      <c r="J12" s="142">
        <v>43808.625</v>
      </c>
      <c r="K12" s="16"/>
    </row>
    <row r="13" spans="1:11" ht="18.75" customHeight="1" thickBot="1">
      <c r="A13" s="137"/>
      <c r="B13" s="139"/>
      <c r="C13" s="139"/>
      <c r="D13" s="17" t="s">
        <v>63</v>
      </c>
      <c r="E13" s="18">
        <v>1.4</v>
      </c>
      <c r="F13" s="92">
        <v>0.273</v>
      </c>
      <c r="G13" s="92">
        <v>0</v>
      </c>
      <c r="H13" s="20">
        <v>1.1269999999999998</v>
      </c>
      <c r="I13" s="141"/>
      <c r="J13" s="143"/>
      <c r="K13" s="16"/>
    </row>
    <row r="14" spans="1:11" s="28" customFormat="1" ht="18.75" customHeight="1">
      <c r="A14" s="149" t="s">
        <v>4</v>
      </c>
      <c r="B14" s="151" t="s">
        <v>100</v>
      </c>
      <c r="C14" s="150"/>
      <c r="D14" s="29" t="s">
        <v>58</v>
      </c>
      <c r="E14" s="30">
        <v>10</v>
      </c>
      <c r="F14" s="91">
        <v>5.962</v>
      </c>
      <c r="G14" s="91">
        <v>2.3179999999999996</v>
      </c>
      <c r="H14" s="24">
        <v>1.7200000000000006</v>
      </c>
      <c r="I14" s="140" t="s">
        <v>30</v>
      </c>
      <c r="J14" s="142">
        <v>44458.875</v>
      </c>
      <c r="K14" s="16"/>
    </row>
    <row r="15" spans="1:11" ht="18.75" customHeight="1" thickBot="1">
      <c r="A15" s="137"/>
      <c r="B15" s="139"/>
      <c r="C15" s="139"/>
      <c r="D15" s="17" t="s">
        <v>63</v>
      </c>
      <c r="E15" s="18">
        <v>1.4</v>
      </c>
      <c r="F15" s="92">
        <v>0.156</v>
      </c>
      <c r="G15" s="92">
        <v>0</v>
      </c>
      <c r="H15" s="20">
        <v>1.244</v>
      </c>
      <c r="I15" s="141"/>
      <c r="J15" s="143"/>
      <c r="K15" s="16"/>
    </row>
    <row r="16" spans="1:13" s="28" customFormat="1" ht="18.75" customHeight="1">
      <c r="A16" s="136" t="s">
        <v>5</v>
      </c>
      <c r="B16" s="131" t="s">
        <v>101</v>
      </c>
      <c r="C16" s="131"/>
      <c r="D16" s="26" t="s">
        <v>58</v>
      </c>
      <c r="E16" s="27">
        <v>10</v>
      </c>
      <c r="F16" s="91">
        <v>3.926</v>
      </c>
      <c r="G16" s="91">
        <v>0.22</v>
      </c>
      <c r="H16" s="14">
        <v>5.854</v>
      </c>
      <c r="I16" s="140" t="s">
        <v>31</v>
      </c>
      <c r="J16" s="142">
        <f>'[1]Лист3'!N17</f>
        <v>43986.791666666664</v>
      </c>
      <c r="K16" s="16"/>
      <c r="L16" s="154"/>
      <c r="M16" s="154"/>
    </row>
    <row r="17" spans="1:13" ht="18.75" customHeight="1" thickBot="1">
      <c r="A17" s="152"/>
      <c r="B17" s="153"/>
      <c r="C17" s="153"/>
      <c r="D17" s="31" t="s">
        <v>63</v>
      </c>
      <c r="E17" s="32">
        <v>0.882</v>
      </c>
      <c r="F17" s="94">
        <v>0.28</v>
      </c>
      <c r="G17" s="94">
        <v>0</v>
      </c>
      <c r="H17" s="33">
        <v>0.602</v>
      </c>
      <c r="I17" s="141"/>
      <c r="J17" s="143"/>
      <c r="K17" s="16"/>
      <c r="L17" s="154"/>
      <c r="M17" s="154"/>
    </row>
    <row r="18" spans="1:12" s="28" customFormat="1" ht="18.75" customHeight="1">
      <c r="A18" s="136" t="s">
        <v>6</v>
      </c>
      <c r="B18" s="131" t="s">
        <v>102</v>
      </c>
      <c r="C18" s="131"/>
      <c r="D18" s="26" t="s">
        <v>58</v>
      </c>
      <c r="E18" s="27">
        <v>10</v>
      </c>
      <c r="F18" s="93">
        <v>3.516</v>
      </c>
      <c r="G18" s="93">
        <v>1.574</v>
      </c>
      <c r="H18" s="14">
        <v>4.91</v>
      </c>
      <c r="I18" s="140" t="s">
        <v>32</v>
      </c>
      <c r="J18" s="142">
        <v>44235.875</v>
      </c>
      <c r="K18" s="16"/>
      <c r="L18" s="34"/>
    </row>
    <row r="19" spans="1:11" ht="18.75" customHeight="1" thickBot="1">
      <c r="A19" s="137"/>
      <c r="B19" s="139"/>
      <c r="C19" s="139"/>
      <c r="D19" s="17" t="s">
        <v>63</v>
      </c>
      <c r="E19" s="18">
        <v>1.4</v>
      </c>
      <c r="F19" s="92">
        <v>0.19</v>
      </c>
      <c r="G19" s="92">
        <v>0</v>
      </c>
      <c r="H19" s="20">
        <v>1.21</v>
      </c>
      <c r="I19" s="141"/>
      <c r="J19" s="143"/>
      <c r="K19" s="16"/>
    </row>
    <row r="20" spans="1:12" s="28" customFormat="1" ht="18.75" customHeight="1">
      <c r="A20" s="136" t="s">
        <v>7</v>
      </c>
      <c r="B20" s="155" t="s">
        <v>103</v>
      </c>
      <c r="C20" s="155"/>
      <c r="D20" s="26" t="s">
        <v>58</v>
      </c>
      <c r="E20" s="35">
        <v>10</v>
      </c>
      <c r="F20" s="93">
        <v>4.992</v>
      </c>
      <c r="G20" s="93">
        <v>2.199</v>
      </c>
      <c r="H20" s="14">
        <v>2.809</v>
      </c>
      <c r="I20" s="140" t="s">
        <v>33</v>
      </c>
      <c r="J20" s="142">
        <v>44468.875</v>
      </c>
      <c r="K20" s="16"/>
      <c r="L20" s="34"/>
    </row>
    <row r="21" spans="1:14" ht="18.75" customHeight="1" thickBot="1">
      <c r="A21" s="137"/>
      <c r="B21" s="156"/>
      <c r="C21" s="156"/>
      <c r="D21" s="17" t="s">
        <v>63</v>
      </c>
      <c r="E21" s="18">
        <v>1.4</v>
      </c>
      <c r="F21" s="92">
        <v>0.318</v>
      </c>
      <c r="G21" s="92">
        <v>0.21099999999999997</v>
      </c>
      <c r="H21" s="20">
        <v>0.8709999999999999</v>
      </c>
      <c r="I21" s="141"/>
      <c r="J21" s="143"/>
      <c r="K21" s="16"/>
      <c r="L21" s="36"/>
      <c r="M21" s="36"/>
      <c r="N21" s="36"/>
    </row>
    <row r="22" spans="1:16" s="28" customFormat="1" ht="18.75" customHeight="1">
      <c r="A22" s="136" t="s">
        <v>8</v>
      </c>
      <c r="B22" s="131" t="s">
        <v>104</v>
      </c>
      <c r="C22" s="131"/>
      <c r="D22" s="26" t="s">
        <v>58</v>
      </c>
      <c r="E22" s="35">
        <v>10</v>
      </c>
      <c r="F22" s="93">
        <v>5.706</v>
      </c>
      <c r="G22" s="93">
        <v>0.549</v>
      </c>
      <c r="H22" s="14">
        <v>3.7449999999999997</v>
      </c>
      <c r="I22" s="140" t="s">
        <v>34</v>
      </c>
      <c r="J22" s="142">
        <v>44561.75</v>
      </c>
      <c r="K22" s="16"/>
      <c r="L22" s="37"/>
      <c r="M22" s="37"/>
      <c r="N22" s="37"/>
      <c r="O22" s="38"/>
      <c r="P22" s="38"/>
    </row>
    <row r="23" spans="1:16" ht="18.75" customHeight="1" thickBot="1">
      <c r="A23" s="137"/>
      <c r="B23" s="139"/>
      <c r="C23" s="139"/>
      <c r="D23" s="17" t="s">
        <v>63</v>
      </c>
      <c r="E23" s="18">
        <v>1.4</v>
      </c>
      <c r="F23" s="94">
        <v>0.327</v>
      </c>
      <c r="G23" s="94">
        <v>0.15</v>
      </c>
      <c r="H23" s="20">
        <v>0.9229999999999999</v>
      </c>
      <c r="I23" s="141"/>
      <c r="J23" s="143"/>
      <c r="K23" s="16"/>
      <c r="L23" s="36"/>
      <c r="M23" s="36"/>
      <c r="N23" s="36"/>
      <c r="O23" s="39"/>
      <c r="P23" s="39"/>
    </row>
    <row r="24" spans="1:14" s="28" customFormat="1" ht="18.75" customHeight="1">
      <c r="A24" s="136" t="s">
        <v>9</v>
      </c>
      <c r="B24" s="131" t="s">
        <v>105</v>
      </c>
      <c r="C24" s="131"/>
      <c r="D24" s="26" t="s">
        <v>58</v>
      </c>
      <c r="E24" s="35">
        <v>10</v>
      </c>
      <c r="F24" s="93">
        <v>6.396</v>
      </c>
      <c r="G24" s="93">
        <v>2.7493499999999997</v>
      </c>
      <c r="H24" s="14">
        <v>0.8546500000000004</v>
      </c>
      <c r="I24" s="140" t="s">
        <v>35</v>
      </c>
      <c r="J24" s="142">
        <f>'[1]Лист3'!N25</f>
        <v>44195</v>
      </c>
      <c r="K24" s="16"/>
      <c r="L24" s="37"/>
      <c r="M24" s="37"/>
      <c r="N24" s="37"/>
    </row>
    <row r="25" spans="1:14" ht="18.75" customHeight="1" thickBot="1">
      <c r="A25" s="137"/>
      <c r="B25" s="139"/>
      <c r="C25" s="139"/>
      <c r="D25" s="17" t="s">
        <v>63</v>
      </c>
      <c r="E25" s="18">
        <v>0.882</v>
      </c>
      <c r="F25" s="92">
        <v>0.139</v>
      </c>
      <c r="G25" s="92">
        <v>0</v>
      </c>
      <c r="H25" s="20">
        <v>0.743</v>
      </c>
      <c r="I25" s="141"/>
      <c r="J25" s="143"/>
      <c r="K25" s="16"/>
      <c r="L25" s="36"/>
      <c r="M25" s="36"/>
      <c r="N25" s="36"/>
    </row>
    <row r="26" spans="1:11" s="28" customFormat="1" ht="18.75" customHeight="1">
      <c r="A26" s="136" t="s">
        <v>10</v>
      </c>
      <c r="B26" s="131" t="s">
        <v>146</v>
      </c>
      <c r="C26" s="131"/>
      <c r="D26" s="26" t="s">
        <v>58</v>
      </c>
      <c r="E26" s="35">
        <v>10</v>
      </c>
      <c r="F26" s="93">
        <v>2.405</v>
      </c>
      <c r="G26" s="93">
        <v>0.6749</v>
      </c>
      <c r="H26" s="14">
        <v>6.920100000000001</v>
      </c>
      <c r="I26" s="140" t="s">
        <v>36</v>
      </c>
      <c r="J26" s="142">
        <v>44560.833333333336</v>
      </c>
      <c r="K26" s="16"/>
    </row>
    <row r="27" spans="1:11" ht="18.75" customHeight="1" thickBot="1">
      <c r="A27" s="137"/>
      <c r="B27" s="139"/>
      <c r="C27" s="139"/>
      <c r="D27" s="17" t="s">
        <v>63</v>
      </c>
      <c r="E27" s="18">
        <v>0.882</v>
      </c>
      <c r="F27" s="92">
        <v>0.219</v>
      </c>
      <c r="G27" s="92">
        <v>0.4056</v>
      </c>
      <c r="H27" s="20">
        <v>0.2574</v>
      </c>
      <c r="I27" s="141"/>
      <c r="J27" s="143"/>
      <c r="K27" s="68"/>
    </row>
    <row r="28" spans="1:11" s="28" customFormat="1" ht="18.75" customHeight="1">
      <c r="A28" s="136" t="s">
        <v>11</v>
      </c>
      <c r="B28" s="131" t="s">
        <v>106</v>
      </c>
      <c r="C28" s="131"/>
      <c r="D28" s="26" t="s">
        <v>58</v>
      </c>
      <c r="E28" s="35">
        <v>10</v>
      </c>
      <c r="F28" s="93">
        <v>5.136</v>
      </c>
      <c r="G28" s="93">
        <v>2.6409000000000002</v>
      </c>
      <c r="H28" s="14">
        <v>2.2230999999999996</v>
      </c>
      <c r="I28" s="140" t="s">
        <v>37</v>
      </c>
      <c r="J28" s="142">
        <v>44544.791666666664</v>
      </c>
      <c r="K28" s="16"/>
    </row>
    <row r="29" spans="1:11" ht="18.75" customHeight="1" thickBot="1">
      <c r="A29" s="137"/>
      <c r="B29" s="139"/>
      <c r="C29" s="139"/>
      <c r="D29" s="17" t="s">
        <v>63</v>
      </c>
      <c r="E29" s="18">
        <v>0.882</v>
      </c>
      <c r="F29" s="92">
        <v>0.373</v>
      </c>
      <c r="G29" s="92">
        <v>0</v>
      </c>
      <c r="H29" s="20">
        <v>0.509</v>
      </c>
      <c r="I29" s="141"/>
      <c r="J29" s="143"/>
      <c r="K29" s="16"/>
    </row>
    <row r="30" spans="1:11" s="28" customFormat="1" ht="18.75" customHeight="1">
      <c r="A30" s="149" t="s">
        <v>12</v>
      </c>
      <c r="B30" s="150" t="s">
        <v>107</v>
      </c>
      <c r="C30" s="150"/>
      <c r="D30" s="29" t="s">
        <v>58</v>
      </c>
      <c r="E30" s="40">
        <v>10</v>
      </c>
      <c r="F30" s="91">
        <v>6.326</v>
      </c>
      <c r="G30" s="91">
        <v>2.04</v>
      </c>
      <c r="H30" s="24">
        <v>1.6340000000000003</v>
      </c>
      <c r="I30" s="140" t="s">
        <v>38</v>
      </c>
      <c r="J30" s="142">
        <f>'[1]Лист3'!N31</f>
        <v>44151.791666666664</v>
      </c>
      <c r="K30" s="16"/>
    </row>
    <row r="31" spans="1:11" ht="18.75" customHeight="1" thickBot="1">
      <c r="A31" s="137"/>
      <c r="B31" s="139"/>
      <c r="C31" s="139"/>
      <c r="D31" s="17" t="s">
        <v>63</v>
      </c>
      <c r="E31" s="18">
        <v>0.882</v>
      </c>
      <c r="F31" s="92">
        <v>0.472</v>
      </c>
      <c r="G31" s="92">
        <v>0.25</v>
      </c>
      <c r="H31" s="20">
        <v>0.16000000000000003</v>
      </c>
      <c r="I31" s="141"/>
      <c r="J31" s="143"/>
      <c r="K31" s="16"/>
    </row>
    <row r="32" spans="1:11" s="28" customFormat="1" ht="18.75" customHeight="1">
      <c r="A32" s="136" t="s">
        <v>13</v>
      </c>
      <c r="B32" s="131" t="s">
        <v>108</v>
      </c>
      <c r="C32" s="131"/>
      <c r="D32" s="26" t="s">
        <v>58</v>
      </c>
      <c r="E32" s="35">
        <v>10</v>
      </c>
      <c r="F32" s="93">
        <v>7.855</v>
      </c>
      <c r="G32" s="93">
        <v>3.59335</v>
      </c>
      <c r="H32" s="14">
        <v>0</v>
      </c>
      <c r="I32" s="140" t="s">
        <v>73</v>
      </c>
      <c r="J32" s="142">
        <v>44151.791666666664</v>
      </c>
      <c r="K32" s="16"/>
    </row>
    <row r="33" spans="1:11" ht="18.75" customHeight="1" thickBot="1">
      <c r="A33" s="137"/>
      <c r="B33" s="139"/>
      <c r="C33" s="139"/>
      <c r="D33" s="17" t="s">
        <v>63</v>
      </c>
      <c r="E33" s="18">
        <v>1.4</v>
      </c>
      <c r="F33" s="92">
        <v>0.424</v>
      </c>
      <c r="G33" s="92">
        <v>0</v>
      </c>
      <c r="H33" s="20">
        <v>0.976</v>
      </c>
      <c r="I33" s="141"/>
      <c r="J33" s="143"/>
      <c r="K33" s="16"/>
    </row>
    <row r="34" spans="1:11" s="28" customFormat="1" ht="18.75" customHeight="1">
      <c r="A34" s="136" t="s">
        <v>14</v>
      </c>
      <c r="B34" s="131" t="s">
        <v>109</v>
      </c>
      <c r="C34" s="131"/>
      <c r="D34" s="26" t="s">
        <v>58</v>
      </c>
      <c r="E34" s="35">
        <v>10</v>
      </c>
      <c r="F34" s="93">
        <v>3.671</v>
      </c>
      <c r="G34" s="93">
        <v>0.276</v>
      </c>
      <c r="H34" s="14">
        <v>6.053000000000001</v>
      </c>
      <c r="I34" s="140" t="s">
        <v>39</v>
      </c>
      <c r="J34" s="142">
        <v>44217.791666666664</v>
      </c>
      <c r="K34" s="16"/>
    </row>
    <row r="35" spans="1:11" ht="18.75" customHeight="1" thickBot="1">
      <c r="A35" s="137"/>
      <c r="B35" s="139"/>
      <c r="C35" s="139"/>
      <c r="D35" s="17" t="s">
        <v>63</v>
      </c>
      <c r="E35" s="18">
        <v>0.882</v>
      </c>
      <c r="F35" s="92">
        <v>0.421</v>
      </c>
      <c r="G35" s="92">
        <v>0.015</v>
      </c>
      <c r="H35" s="20">
        <v>0.446</v>
      </c>
      <c r="I35" s="141"/>
      <c r="J35" s="143"/>
      <c r="K35" s="16"/>
    </row>
    <row r="36" spans="1:11" s="28" customFormat="1" ht="18.75" customHeight="1">
      <c r="A36" s="136" t="s">
        <v>15</v>
      </c>
      <c r="B36" s="131" t="s">
        <v>147</v>
      </c>
      <c r="C36" s="131"/>
      <c r="D36" s="26" t="s">
        <v>58</v>
      </c>
      <c r="E36" s="35">
        <v>10</v>
      </c>
      <c r="F36" s="93">
        <v>6.074</v>
      </c>
      <c r="G36" s="93">
        <v>1.9010000000000002</v>
      </c>
      <c r="H36" s="14">
        <v>2.025</v>
      </c>
      <c r="I36" s="140" t="s">
        <v>74</v>
      </c>
      <c r="J36" s="142">
        <f>'[1]Лист3'!N37</f>
        <v>44168.625</v>
      </c>
      <c r="K36" s="16"/>
    </row>
    <row r="37" spans="1:11" ht="18.75" customHeight="1" thickBot="1">
      <c r="A37" s="137"/>
      <c r="B37" s="139"/>
      <c r="C37" s="139"/>
      <c r="D37" s="17" t="s">
        <v>63</v>
      </c>
      <c r="E37" s="18">
        <v>1.764</v>
      </c>
      <c r="F37" s="92">
        <v>1</v>
      </c>
      <c r="G37" s="92">
        <v>0</v>
      </c>
      <c r="H37" s="20">
        <v>0.764</v>
      </c>
      <c r="I37" s="141"/>
      <c r="J37" s="143"/>
      <c r="K37" s="16"/>
    </row>
    <row r="38" spans="1:11" s="28" customFormat="1" ht="18.75" customHeight="1">
      <c r="A38" s="149" t="s">
        <v>16</v>
      </c>
      <c r="B38" s="150" t="s">
        <v>110</v>
      </c>
      <c r="C38" s="150"/>
      <c r="D38" s="29" t="s">
        <v>58</v>
      </c>
      <c r="E38" s="40">
        <v>10</v>
      </c>
      <c r="F38" s="91">
        <v>2.742</v>
      </c>
      <c r="G38" s="91">
        <v>1.462</v>
      </c>
      <c r="H38" s="24">
        <v>5.796</v>
      </c>
      <c r="I38" s="140" t="s">
        <v>76</v>
      </c>
      <c r="J38" s="142">
        <f>'[1]Лист3'!N39</f>
        <v>44193.708333333336</v>
      </c>
      <c r="K38" s="16"/>
    </row>
    <row r="39" spans="1:11" ht="18.75" customHeight="1" thickBot="1">
      <c r="A39" s="137"/>
      <c r="B39" s="139"/>
      <c r="C39" s="139"/>
      <c r="D39" s="17" t="s">
        <v>63</v>
      </c>
      <c r="E39" s="18">
        <v>0.882</v>
      </c>
      <c r="F39" s="92">
        <v>0.094</v>
      </c>
      <c r="G39" s="92">
        <v>0</v>
      </c>
      <c r="H39" s="20">
        <v>0</v>
      </c>
      <c r="I39" s="141"/>
      <c r="J39" s="143"/>
      <c r="K39" s="16"/>
    </row>
    <row r="40" spans="1:11" s="28" customFormat="1" ht="18.75" customHeight="1">
      <c r="A40" s="136" t="s">
        <v>17</v>
      </c>
      <c r="B40" s="155" t="s">
        <v>111</v>
      </c>
      <c r="C40" s="155"/>
      <c r="D40" s="26" t="s">
        <v>58</v>
      </c>
      <c r="E40" s="35">
        <v>10</v>
      </c>
      <c r="F40" s="93">
        <v>3.642</v>
      </c>
      <c r="G40" s="93">
        <v>0.601</v>
      </c>
      <c r="H40" s="14">
        <v>5.757000000000001</v>
      </c>
      <c r="I40" s="140" t="s">
        <v>77</v>
      </c>
      <c r="J40" s="142">
        <f>'[1]Лист3'!N41</f>
        <v>44170.541666666664</v>
      </c>
      <c r="K40" s="16"/>
    </row>
    <row r="41" spans="1:11" ht="18.75" customHeight="1" thickBot="1">
      <c r="A41" s="137"/>
      <c r="B41" s="156"/>
      <c r="C41" s="156"/>
      <c r="D41" s="17" t="s">
        <v>63</v>
      </c>
      <c r="E41" s="18">
        <v>0.882</v>
      </c>
      <c r="F41" s="92">
        <v>0.015</v>
      </c>
      <c r="G41" s="92">
        <v>0</v>
      </c>
      <c r="H41" s="20">
        <v>0.867</v>
      </c>
      <c r="I41" s="141"/>
      <c r="J41" s="143"/>
      <c r="K41" s="16"/>
    </row>
    <row r="42" spans="1:11" s="28" customFormat="1" ht="18.75" customHeight="1">
      <c r="A42" s="136" t="s">
        <v>19</v>
      </c>
      <c r="B42" s="131" t="s">
        <v>112</v>
      </c>
      <c r="C42" s="131"/>
      <c r="D42" s="26" t="s">
        <v>58</v>
      </c>
      <c r="E42" s="35">
        <v>10</v>
      </c>
      <c r="F42" s="93">
        <v>5.121</v>
      </c>
      <c r="G42" s="93">
        <v>0.10400000000000001</v>
      </c>
      <c r="H42" s="14">
        <v>4.7749999999999995</v>
      </c>
      <c r="I42" s="140" t="s">
        <v>40</v>
      </c>
      <c r="J42" s="142">
        <f>'[1]Лист3'!N43</f>
        <v>44192.708333333336</v>
      </c>
      <c r="K42" s="16"/>
    </row>
    <row r="43" spans="1:11" ht="18.75" customHeight="1" thickBot="1">
      <c r="A43" s="137"/>
      <c r="B43" s="139"/>
      <c r="C43" s="139"/>
      <c r="D43" s="17" t="s">
        <v>63</v>
      </c>
      <c r="E43" s="18">
        <v>1.4</v>
      </c>
      <c r="F43" s="92">
        <v>0.844</v>
      </c>
      <c r="G43" s="92">
        <v>0.068</v>
      </c>
      <c r="H43" s="20">
        <v>0.48799999999999993</v>
      </c>
      <c r="I43" s="141"/>
      <c r="J43" s="143"/>
      <c r="K43" s="16"/>
    </row>
    <row r="44" spans="1:13" s="6" customFormat="1" ht="18.75" customHeight="1">
      <c r="A44" s="157" t="s">
        <v>18</v>
      </c>
      <c r="B44" s="155" t="s">
        <v>113</v>
      </c>
      <c r="C44" s="155"/>
      <c r="D44" s="12" t="s">
        <v>58</v>
      </c>
      <c r="E44" s="13">
        <v>10</v>
      </c>
      <c r="F44" s="116">
        <v>2.274</v>
      </c>
      <c r="G44" s="116">
        <v>0</v>
      </c>
      <c r="H44" s="14">
        <v>7.726</v>
      </c>
      <c r="I44" s="140" t="s">
        <v>78</v>
      </c>
      <c r="J44" s="142">
        <v>44507.791666666664</v>
      </c>
      <c r="K44" s="16"/>
      <c r="L44" s="159"/>
      <c r="M44" s="159"/>
    </row>
    <row r="45" spans="1:13" s="3" customFormat="1" ht="18.75" customHeight="1" thickBot="1">
      <c r="A45" s="158"/>
      <c r="B45" s="156"/>
      <c r="C45" s="156"/>
      <c r="D45" s="41" t="s">
        <v>63</v>
      </c>
      <c r="E45" s="19">
        <v>0.882</v>
      </c>
      <c r="F45" s="92">
        <v>0.104</v>
      </c>
      <c r="G45" s="92">
        <v>0</v>
      </c>
      <c r="H45" s="20">
        <v>0.778</v>
      </c>
      <c r="I45" s="141"/>
      <c r="J45" s="143"/>
      <c r="K45" s="16"/>
      <c r="L45" s="159"/>
      <c r="M45" s="159"/>
    </row>
    <row r="46" spans="1:11" s="28" customFormat="1" ht="18.75" customHeight="1">
      <c r="A46" s="149" t="s">
        <v>20</v>
      </c>
      <c r="B46" s="150" t="s">
        <v>114</v>
      </c>
      <c r="C46" s="150"/>
      <c r="D46" s="29" t="s">
        <v>58</v>
      </c>
      <c r="E46" s="40">
        <v>10</v>
      </c>
      <c r="F46" s="91">
        <v>3.415</v>
      </c>
      <c r="G46" s="91">
        <v>1.1145</v>
      </c>
      <c r="H46" s="24">
        <v>5.4704999999999995</v>
      </c>
      <c r="I46" s="140" t="s">
        <v>68</v>
      </c>
      <c r="J46" s="142">
        <v>44224.833333333336</v>
      </c>
      <c r="K46" s="16"/>
    </row>
    <row r="47" spans="1:11" ht="18.75" customHeight="1" thickBot="1">
      <c r="A47" s="137"/>
      <c r="B47" s="139"/>
      <c r="C47" s="139"/>
      <c r="D47" s="17" t="s">
        <v>63</v>
      </c>
      <c r="E47" s="18">
        <v>1.4</v>
      </c>
      <c r="F47" s="92">
        <v>0.136</v>
      </c>
      <c r="G47" s="92">
        <v>0</v>
      </c>
      <c r="H47" s="20">
        <v>1.2639999999999998</v>
      </c>
      <c r="I47" s="141"/>
      <c r="J47" s="143"/>
      <c r="K47" s="16"/>
    </row>
    <row r="48" spans="1:11" s="28" customFormat="1" ht="18.75" customHeight="1">
      <c r="A48" s="157" t="s">
        <v>21</v>
      </c>
      <c r="B48" s="131" t="s">
        <v>115</v>
      </c>
      <c r="C48" s="131"/>
      <c r="D48" s="26" t="s">
        <v>58</v>
      </c>
      <c r="E48" s="35">
        <v>10</v>
      </c>
      <c r="F48" s="93">
        <v>1.759</v>
      </c>
      <c r="G48" s="93">
        <v>0.61356</v>
      </c>
      <c r="H48" s="14">
        <v>7.62744</v>
      </c>
      <c r="I48" s="140" t="s">
        <v>57</v>
      </c>
      <c r="J48" s="142">
        <v>44560.875</v>
      </c>
      <c r="K48" s="16"/>
    </row>
    <row r="49" spans="1:11" ht="18.75" customHeight="1" thickBot="1">
      <c r="A49" s="137"/>
      <c r="B49" s="139"/>
      <c r="C49" s="139"/>
      <c r="D49" s="17" t="s">
        <v>63</v>
      </c>
      <c r="E49" s="18">
        <v>1.4</v>
      </c>
      <c r="F49" s="94">
        <v>0.317</v>
      </c>
      <c r="G49" s="94">
        <v>0.60741</v>
      </c>
      <c r="H49" s="20">
        <v>0.47558999999999996</v>
      </c>
      <c r="I49" s="141"/>
      <c r="J49" s="143"/>
      <c r="K49" s="16"/>
    </row>
    <row r="50" spans="1:11" s="28" customFormat="1" ht="18.75" customHeight="1">
      <c r="A50" s="157" t="s">
        <v>22</v>
      </c>
      <c r="B50" s="131" t="s">
        <v>116</v>
      </c>
      <c r="C50" s="131"/>
      <c r="D50" s="26" t="s">
        <v>58</v>
      </c>
      <c r="E50" s="35">
        <v>10</v>
      </c>
      <c r="F50" s="93">
        <v>2.831</v>
      </c>
      <c r="G50" s="93">
        <v>0.8260000000000001</v>
      </c>
      <c r="H50" s="14">
        <v>6.343</v>
      </c>
      <c r="I50" s="140" t="s">
        <v>81</v>
      </c>
      <c r="J50" s="142">
        <v>44220.75</v>
      </c>
      <c r="K50" s="16"/>
    </row>
    <row r="51" spans="1:13" ht="18.75" customHeight="1" thickBot="1">
      <c r="A51" s="137"/>
      <c r="B51" s="139"/>
      <c r="C51" s="139"/>
      <c r="D51" s="17" t="s">
        <v>59</v>
      </c>
      <c r="E51" s="18">
        <v>1.4</v>
      </c>
      <c r="F51" s="92">
        <v>0.305</v>
      </c>
      <c r="G51" s="92">
        <v>1.264</v>
      </c>
      <c r="H51" s="20">
        <v>0</v>
      </c>
      <c r="I51" s="141"/>
      <c r="J51" s="143"/>
      <c r="K51" s="16"/>
      <c r="L51" s="160"/>
      <c r="M51" s="160"/>
    </row>
    <row r="52" spans="1:13" ht="18.75" customHeight="1">
      <c r="A52" s="161" t="s">
        <v>23</v>
      </c>
      <c r="B52" s="163" t="s">
        <v>117</v>
      </c>
      <c r="C52" s="164"/>
      <c r="D52" s="29" t="s">
        <v>58</v>
      </c>
      <c r="E52" s="40">
        <v>10</v>
      </c>
      <c r="F52" s="91">
        <v>3.065</v>
      </c>
      <c r="G52" s="91">
        <v>0.0006</v>
      </c>
      <c r="H52" s="24">
        <v>6.9344</v>
      </c>
      <c r="I52" s="140" t="s">
        <v>90</v>
      </c>
      <c r="J52" s="142">
        <v>44279.833333333336</v>
      </c>
      <c r="K52" s="16"/>
      <c r="L52" s="167"/>
      <c r="M52" s="167"/>
    </row>
    <row r="53" spans="1:13" ht="18.75" customHeight="1" thickBot="1">
      <c r="A53" s="162"/>
      <c r="B53" s="165"/>
      <c r="C53" s="166"/>
      <c r="D53" s="17" t="s">
        <v>63</v>
      </c>
      <c r="E53" s="18">
        <v>1.4</v>
      </c>
      <c r="F53" s="92">
        <v>0.3</v>
      </c>
      <c r="G53" s="92">
        <v>0</v>
      </c>
      <c r="H53" s="20">
        <v>1.0999999999999999</v>
      </c>
      <c r="I53" s="141"/>
      <c r="J53" s="143"/>
      <c r="K53" s="16"/>
      <c r="L53" s="167"/>
      <c r="M53" s="167"/>
    </row>
    <row r="54" spans="1:11" s="28" customFormat="1" ht="18.75" customHeight="1">
      <c r="A54" s="157" t="s">
        <v>24</v>
      </c>
      <c r="B54" s="131" t="s">
        <v>118</v>
      </c>
      <c r="C54" s="131"/>
      <c r="D54" s="26" t="s">
        <v>60</v>
      </c>
      <c r="E54" s="35">
        <v>6</v>
      </c>
      <c r="F54" s="93">
        <v>1.972</v>
      </c>
      <c r="G54" s="93">
        <v>0.428</v>
      </c>
      <c r="H54" s="14">
        <v>3.6000000000000005</v>
      </c>
      <c r="I54" s="140" t="s">
        <v>41</v>
      </c>
      <c r="J54" s="142">
        <f>'[1]Лист3'!N55</f>
        <v>43475.625</v>
      </c>
      <c r="K54" s="16"/>
    </row>
    <row r="55" spans="1:11" ht="18.75" customHeight="1" thickBot="1">
      <c r="A55" s="137"/>
      <c r="B55" s="139"/>
      <c r="C55" s="139"/>
      <c r="D55" s="17" t="s">
        <v>63</v>
      </c>
      <c r="E55" s="18">
        <v>0.56</v>
      </c>
      <c r="F55" s="92">
        <v>0.005</v>
      </c>
      <c r="G55" s="92">
        <v>0.017</v>
      </c>
      <c r="H55" s="20">
        <v>0.538</v>
      </c>
      <c r="I55" s="141"/>
      <c r="J55" s="143"/>
      <c r="K55" s="16"/>
    </row>
    <row r="56" spans="1:11" s="28" customFormat="1" ht="18.75" customHeight="1">
      <c r="A56" s="168" t="s">
        <v>25</v>
      </c>
      <c r="B56" s="131" t="s">
        <v>119</v>
      </c>
      <c r="C56" s="131"/>
      <c r="D56" s="26" t="s">
        <v>61</v>
      </c>
      <c r="E56" s="35">
        <v>6</v>
      </c>
      <c r="F56" s="93">
        <v>2.083</v>
      </c>
      <c r="G56" s="93">
        <v>0.055</v>
      </c>
      <c r="H56" s="14">
        <v>3.8619999999999997</v>
      </c>
      <c r="I56" s="140" t="s">
        <v>42</v>
      </c>
      <c r="J56" s="142">
        <f>'[1]Лист3'!N57</f>
        <v>44193.583333333336</v>
      </c>
      <c r="K56" s="16"/>
    </row>
    <row r="57" spans="1:11" ht="21.75" customHeight="1" thickBot="1">
      <c r="A57" s="162"/>
      <c r="B57" s="139"/>
      <c r="C57" s="139"/>
      <c r="D57" s="17" t="s">
        <v>63</v>
      </c>
      <c r="E57" s="18">
        <v>0.882</v>
      </c>
      <c r="F57" s="92">
        <v>0.267</v>
      </c>
      <c r="G57" s="92">
        <v>0</v>
      </c>
      <c r="H57" s="20">
        <v>0.615</v>
      </c>
      <c r="I57" s="141"/>
      <c r="J57" s="143"/>
      <c r="K57" s="16"/>
    </row>
    <row r="58" spans="1:11" s="28" customFormat="1" ht="18.75" customHeight="1">
      <c r="A58" s="169" t="s">
        <v>26</v>
      </c>
      <c r="B58" s="171" t="s">
        <v>120</v>
      </c>
      <c r="C58" s="172"/>
      <c r="D58" s="29" t="s">
        <v>60</v>
      </c>
      <c r="E58" s="40">
        <v>6</v>
      </c>
      <c r="F58" s="91">
        <v>1.808</v>
      </c>
      <c r="G58" s="91">
        <v>0.071</v>
      </c>
      <c r="H58" s="24">
        <v>4.121</v>
      </c>
      <c r="I58" s="140" t="s">
        <v>43</v>
      </c>
      <c r="J58" s="142">
        <f>'[1]Лист3'!N59</f>
        <v>43859.708333333336</v>
      </c>
      <c r="K58" s="16"/>
    </row>
    <row r="59" spans="1:11" ht="18.75" customHeight="1" thickBot="1">
      <c r="A59" s="170"/>
      <c r="B59" s="173"/>
      <c r="C59" s="174"/>
      <c r="D59" s="42" t="s">
        <v>63</v>
      </c>
      <c r="E59" s="18">
        <v>0.882</v>
      </c>
      <c r="F59" s="92">
        <v>0.333</v>
      </c>
      <c r="G59" s="92">
        <v>0.04</v>
      </c>
      <c r="H59" s="20">
        <v>0.5089999999999999</v>
      </c>
      <c r="I59" s="141"/>
      <c r="J59" s="143"/>
      <c r="K59" s="16"/>
    </row>
    <row r="60" spans="1:11" s="28" customFormat="1" ht="18.75" customHeight="1">
      <c r="A60" s="175" t="s">
        <v>27</v>
      </c>
      <c r="B60" s="155" t="s">
        <v>121</v>
      </c>
      <c r="C60" s="131"/>
      <c r="D60" s="26" t="s">
        <v>58</v>
      </c>
      <c r="E60" s="35">
        <v>10</v>
      </c>
      <c r="F60" s="93">
        <v>1.846</v>
      </c>
      <c r="G60" s="93">
        <v>0.794</v>
      </c>
      <c r="H60" s="14">
        <v>7.359999999999999</v>
      </c>
      <c r="I60" s="140" t="s">
        <v>91</v>
      </c>
      <c r="J60" s="142">
        <f>'[1]Лист3'!N61</f>
        <v>43986.5</v>
      </c>
      <c r="K60" s="16"/>
    </row>
    <row r="61" spans="1:11" ht="18.75" customHeight="1" thickBot="1">
      <c r="A61" s="170"/>
      <c r="B61" s="139"/>
      <c r="C61" s="139"/>
      <c r="D61" s="17" t="s">
        <v>63</v>
      </c>
      <c r="E61" s="18">
        <v>0.882</v>
      </c>
      <c r="F61" s="92">
        <v>0.111</v>
      </c>
      <c r="G61" s="92">
        <v>0.03</v>
      </c>
      <c r="H61" s="20">
        <v>0.741</v>
      </c>
      <c r="I61" s="141"/>
      <c r="J61" s="143"/>
      <c r="K61" s="16"/>
    </row>
    <row r="62" spans="1:11" ht="18.75" customHeight="1">
      <c r="A62" s="169" t="s">
        <v>28</v>
      </c>
      <c r="B62" s="163" t="s">
        <v>122</v>
      </c>
      <c r="C62" s="164"/>
      <c r="D62" s="29" t="s">
        <v>61</v>
      </c>
      <c r="E62" s="40">
        <v>6</v>
      </c>
      <c r="F62" s="91">
        <v>1.327</v>
      </c>
      <c r="G62" s="91">
        <v>0</v>
      </c>
      <c r="H62" s="24">
        <v>4.673</v>
      </c>
      <c r="I62" s="140" t="s">
        <v>85</v>
      </c>
      <c r="J62" s="142">
        <v>44519.5</v>
      </c>
      <c r="K62" s="16"/>
    </row>
    <row r="63" spans="1:11" ht="18.75" customHeight="1" thickBot="1">
      <c r="A63" s="170"/>
      <c r="B63" s="165"/>
      <c r="C63" s="166"/>
      <c r="D63" s="17" t="s">
        <v>63</v>
      </c>
      <c r="E63" s="18">
        <v>0.882</v>
      </c>
      <c r="F63" s="92">
        <v>0.097</v>
      </c>
      <c r="G63" s="92">
        <v>0</v>
      </c>
      <c r="H63" s="20">
        <v>0.785</v>
      </c>
      <c r="I63" s="141"/>
      <c r="J63" s="143"/>
      <c r="K63" s="16"/>
    </row>
    <row r="64" spans="1:11" ht="18.75" customHeight="1">
      <c r="A64" s="175" t="s">
        <v>29</v>
      </c>
      <c r="B64" s="176" t="s">
        <v>123</v>
      </c>
      <c r="C64" s="177"/>
      <c r="D64" s="43" t="s">
        <v>58</v>
      </c>
      <c r="E64" s="27">
        <v>10</v>
      </c>
      <c r="F64" s="93">
        <v>0.333</v>
      </c>
      <c r="G64" s="93">
        <v>0.3</v>
      </c>
      <c r="H64" s="14">
        <v>9.366999999999999</v>
      </c>
      <c r="I64" s="140" t="s">
        <v>70</v>
      </c>
      <c r="J64" s="142">
        <f>'[1]Лист3'!N65</f>
        <v>44193.458333333336</v>
      </c>
      <c r="K64" s="16"/>
    </row>
    <row r="65" spans="1:11" ht="18.75" customHeight="1" thickBot="1">
      <c r="A65" s="170"/>
      <c r="B65" s="165"/>
      <c r="C65" s="166"/>
      <c r="D65" s="17" t="s">
        <v>63</v>
      </c>
      <c r="E65" s="18">
        <v>0.882</v>
      </c>
      <c r="F65" s="92">
        <v>0.051</v>
      </c>
      <c r="G65" s="92">
        <v>0</v>
      </c>
      <c r="H65" s="20">
        <v>0.831</v>
      </c>
      <c r="I65" s="141"/>
      <c r="J65" s="143"/>
      <c r="K65" s="16"/>
    </row>
    <row r="66" spans="1:12" ht="26.25" customHeight="1" thickBot="1">
      <c r="A66" s="44">
        <v>31</v>
      </c>
      <c r="B66" s="127" t="s">
        <v>124</v>
      </c>
      <c r="C66" s="128"/>
      <c r="D66" s="104" t="s">
        <v>58</v>
      </c>
      <c r="E66" s="104">
        <v>10</v>
      </c>
      <c r="F66" s="95">
        <v>1.32</v>
      </c>
      <c r="G66" s="95">
        <v>0</v>
      </c>
      <c r="H66" s="105">
        <v>8.68</v>
      </c>
      <c r="I66" s="15" t="s">
        <v>95</v>
      </c>
      <c r="J66" s="69">
        <f>'[1]Лист3'!N67</f>
        <v>44190.625</v>
      </c>
      <c r="K66" s="16"/>
      <c r="L66" s="25"/>
    </row>
    <row r="67" spans="1:11" s="28" customFormat="1" ht="16.5" customHeight="1">
      <c r="A67" s="157">
        <v>32</v>
      </c>
      <c r="B67" s="155" t="s">
        <v>125</v>
      </c>
      <c r="C67" s="131"/>
      <c r="D67" s="26" t="s">
        <v>58</v>
      </c>
      <c r="E67" s="35">
        <v>10</v>
      </c>
      <c r="F67" s="93">
        <v>1.882</v>
      </c>
      <c r="G67" s="93">
        <v>0.6785</v>
      </c>
      <c r="H67" s="14">
        <v>7.439500000000001</v>
      </c>
      <c r="I67" s="140" t="s">
        <v>44</v>
      </c>
      <c r="J67" s="142">
        <f>'[1]Лист3'!N68</f>
        <v>43860.416666666664</v>
      </c>
      <c r="K67" s="16"/>
    </row>
    <row r="68" spans="1:11" ht="18.75" customHeight="1" thickBot="1">
      <c r="A68" s="137"/>
      <c r="B68" s="139"/>
      <c r="C68" s="139"/>
      <c r="D68" s="17" t="s">
        <v>63</v>
      </c>
      <c r="E68" s="18">
        <v>0.882</v>
      </c>
      <c r="F68" s="92">
        <v>0.55</v>
      </c>
      <c r="G68" s="92">
        <v>0</v>
      </c>
      <c r="H68" s="20">
        <v>0.33199999999999996</v>
      </c>
      <c r="I68" s="141"/>
      <c r="J68" s="143"/>
      <c r="K68" s="16"/>
    </row>
    <row r="69" spans="1:11" ht="18.75" customHeight="1">
      <c r="A69" s="168">
        <v>33</v>
      </c>
      <c r="B69" s="176" t="s">
        <v>148</v>
      </c>
      <c r="C69" s="177"/>
      <c r="D69" s="26" t="s">
        <v>60</v>
      </c>
      <c r="E69" s="27">
        <v>8</v>
      </c>
      <c r="F69" s="93">
        <v>2.563</v>
      </c>
      <c r="G69" s="93">
        <v>0.16</v>
      </c>
      <c r="H69" s="14">
        <v>5.276999999999999</v>
      </c>
      <c r="I69" s="140" t="s">
        <v>94</v>
      </c>
      <c r="J69" s="142">
        <v>44221.458333333336</v>
      </c>
      <c r="K69" s="16"/>
    </row>
    <row r="70" spans="1:11" ht="17.25" customHeight="1" thickBot="1">
      <c r="A70" s="162"/>
      <c r="B70" s="165"/>
      <c r="C70" s="166"/>
      <c r="D70" s="45" t="s">
        <v>63</v>
      </c>
      <c r="E70" s="67">
        <v>1.4</v>
      </c>
      <c r="F70" s="96">
        <v>0.152</v>
      </c>
      <c r="G70" s="96">
        <v>0.562</v>
      </c>
      <c r="H70" s="20">
        <v>0.8381</v>
      </c>
      <c r="I70" s="141"/>
      <c r="J70" s="143"/>
      <c r="K70" s="16"/>
    </row>
    <row r="71" spans="1:11" s="6" customFormat="1" ht="18.75" customHeight="1">
      <c r="A71" s="157">
        <v>34</v>
      </c>
      <c r="B71" s="155" t="s">
        <v>126</v>
      </c>
      <c r="C71" s="155"/>
      <c r="D71" s="12" t="s">
        <v>61</v>
      </c>
      <c r="E71" s="13">
        <v>6</v>
      </c>
      <c r="F71" s="93">
        <v>3.622</v>
      </c>
      <c r="G71" s="93">
        <v>0.529</v>
      </c>
      <c r="H71" s="14">
        <v>1.8490000000000002</v>
      </c>
      <c r="I71" s="140" t="s">
        <v>65</v>
      </c>
      <c r="J71" s="142">
        <v>44432.666666666664</v>
      </c>
      <c r="K71" s="16"/>
    </row>
    <row r="72" spans="1:11" s="3" customFormat="1" ht="18.75" customHeight="1" thickBot="1">
      <c r="A72" s="158"/>
      <c r="B72" s="156"/>
      <c r="C72" s="156"/>
      <c r="D72" s="41" t="s">
        <v>63</v>
      </c>
      <c r="E72" s="19">
        <v>1.4</v>
      </c>
      <c r="F72" s="92">
        <v>0.13</v>
      </c>
      <c r="G72" s="92">
        <v>0.245</v>
      </c>
      <c r="H72" s="20">
        <v>1.025</v>
      </c>
      <c r="I72" s="141"/>
      <c r="J72" s="143"/>
      <c r="K72" s="16"/>
    </row>
    <row r="73" spans="1:11" s="28" customFormat="1" ht="18.75" customHeight="1">
      <c r="A73" s="157">
        <v>35</v>
      </c>
      <c r="B73" s="155" t="s">
        <v>127</v>
      </c>
      <c r="C73" s="131"/>
      <c r="D73" s="26" t="s">
        <v>58</v>
      </c>
      <c r="E73" s="35">
        <v>10</v>
      </c>
      <c r="F73" s="91">
        <v>2.123</v>
      </c>
      <c r="G73" s="91">
        <v>1.623</v>
      </c>
      <c r="H73" s="14">
        <v>6.254</v>
      </c>
      <c r="I73" s="140" t="s">
        <v>45</v>
      </c>
      <c r="J73" s="142">
        <f>'[1]Лист3'!N74</f>
        <v>43497.75</v>
      </c>
      <c r="K73" s="16"/>
    </row>
    <row r="74" spans="1:11" ht="18.75" customHeight="1" thickBot="1">
      <c r="A74" s="137"/>
      <c r="B74" s="139"/>
      <c r="C74" s="139"/>
      <c r="D74" s="17" t="s">
        <v>63</v>
      </c>
      <c r="E74" s="18">
        <v>0.882</v>
      </c>
      <c r="F74" s="92">
        <v>0.035</v>
      </c>
      <c r="G74" s="92">
        <v>0.002</v>
      </c>
      <c r="H74" s="20">
        <v>0.845</v>
      </c>
      <c r="I74" s="141"/>
      <c r="J74" s="143"/>
      <c r="K74" s="16"/>
    </row>
    <row r="75" spans="1:11" s="28" customFormat="1" ht="18.75" customHeight="1">
      <c r="A75" s="157">
        <v>36</v>
      </c>
      <c r="B75" s="155" t="s">
        <v>383</v>
      </c>
      <c r="C75" s="131"/>
      <c r="D75" s="26" t="s">
        <v>58</v>
      </c>
      <c r="E75" s="35">
        <v>10</v>
      </c>
      <c r="F75" s="93">
        <v>2.043</v>
      </c>
      <c r="G75" s="93">
        <v>1.119</v>
      </c>
      <c r="H75" s="14">
        <v>6.838</v>
      </c>
      <c r="I75" s="140" t="s">
        <v>46</v>
      </c>
      <c r="J75" s="142">
        <f>'[1]Лист3'!N76</f>
        <v>44192.75</v>
      </c>
      <c r="K75" s="16"/>
    </row>
    <row r="76" spans="1:11" ht="18.75" customHeight="1" thickBot="1">
      <c r="A76" s="137"/>
      <c r="B76" s="139"/>
      <c r="C76" s="139"/>
      <c r="D76" s="17" t="s">
        <v>63</v>
      </c>
      <c r="E76" s="18">
        <v>0.56</v>
      </c>
      <c r="F76" s="94">
        <v>0.032</v>
      </c>
      <c r="G76" s="94">
        <v>0</v>
      </c>
      <c r="H76" s="20">
        <v>0.528</v>
      </c>
      <c r="I76" s="141"/>
      <c r="J76" s="143"/>
      <c r="K76" s="16"/>
    </row>
    <row r="77" spans="1:11" s="28" customFormat="1" ht="18.75" customHeight="1">
      <c r="A77" s="178">
        <v>37</v>
      </c>
      <c r="B77" s="151" t="s">
        <v>128</v>
      </c>
      <c r="C77" s="150"/>
      <c r="D77" s="29" t="s">
        <v>58</v>
      </c>
      <c r="E77" s="40">
        <v>10</v>
      </c>
      <c r="F77" s="93">
        <v>3.172</v>
      </c>
      <c r="G77" s="93">
        <v>0.738</v>
      </c>
      <c r="H77" s="24">
        <v>6.09</v>
      </c>
      <c r="I77" s="140" t="s">
        <v>47</v>
      </c>
      <c r="J77" s="142">
        <f>'[1]Лист3'!N78</f>
        <v>44192.75</v>
      </c>
      <c r="K77" s="16"/>
    </row>
    <row r="78" spans="1:11" ht="18.75" customHeight="1" thickBot="1">
      <c r="A78" s="137"/>
      <c r="B78" s="139"/>
      <c r="C78" s="139"/>
      <c r="D78" s="17" t="s">
        <v>63</v>
      </c>
      <c r="E78" s="18">
        <v>0.14</v>
      </c>
      <c r="F78" s="92">
        <v>0.99</v>
      </c>
      <c r="G78" s="92">
        <v>0</v>
      </c>
      <c r="H78" s="20">
        <v>0</v>
      </c>
      <c r="I78" s="141"/>
      <c r="J78" s="143"/>
      <c r="K78" s="16"/>
    </row>
    <row r="79" spans="1:11" s="28" customFormat="1" ht="18.75" customHeight="1">
      <c r="A79" s="178">
        <v>38</v>
      </c>
      <c r="B79" s="151" t="s">
        <v>129</v>
      </c>
      <c r="C79" s="150"/>
      <c r="D79" s="29" t="s">
        <v>58</v>
      </c>
      <c r="E79" s="40">
        <v>10</v>
      </c>
      <c r="F79" s="91">
        <v>1.309</v>
      </c>
      <c r="G79" s="91">
        <v>0.31000000000000005</v>
      </c>
      <c r="H79" s="24">
        <v>8.381</v>
      </c>
      <c r="I79" s="140" t="s">
        <v>92</v>
      </c>
      <c r="J79" s="142">
        <f>'[1]Лист3'!N80</f>
        <v>44070</v>
      </c>
      <c r="K79" s="16"/>
    </row>
    <row r="80" spans="1:11" ht="20.25" customHeight="1" thickBot="1">
      <c r="A80" s="152"/>
      <c r="B80" s="153"/>
      <c r="C80" s="153"/>
      <c r="D80" s="31" t="s">
        <v>63</v>
      </c>
      <c r="E80" s="32">
        <v>1.4</v>
      </c>
      <c r="F80" s="94">
        <v>0.094</v>
      </c>
      <c r="G80" s="94">
        <v>1.0725000000000002</v>
      </c>
      <c r="H80" s="33">
        <v>0.2334999999999996</v>
      </c>
      <c r="I80" s="141"/>
      <c r="J80" s="143"/>
      <c r="K80" s="16"/>
    </row>
    <row r="81" spans="1:11" s="28" customFormat="1" ht="18.75" customHeight="1">
      <c r="A81" s="157">
        <v>39</v>
      </c>
      <c r="B81" s="155" t="s">
        <v>130</v>
      </c>
      <c r="C81" s="131"/>
      <c r="D81" s="26" t="s">
        <v>58</v>
      </c>
      <c r="E81" s="35">
        <v>10</v>
      </c>
      <c r="F81" s="93">
        <v>1.772</v>
      </c>
      <c r="G81" s="93">
        <v>3.094</v>
      </c>
      <c r="H81" s="14">
        <v>5.134</v>
      </c>
      <c r="I81" s="140" t="s">
        <v>48</v>
      </c>
      <c r="J81" s="142">
        <v>44070</v>
      </c>
      <c r="K81" s="16"/>
    </row>
    <row r="82" spans="1:11" ht="18.75" customHeight="1" thickBot="1">
      <c r="A82" s="137"/>
      <c r="B82" s="139"/>
      <c r="C82" s="139"/>
      <c r="D82" s="17" t="s">
        <v>63</v>
      </c>
      <c r="E82" s="18">
        <v>0.882</v>
      </c>
      <c r="F82" s="92">
        <v>0.222</v>
      </c>
      <c r="G82" s="92">
        <v>0.252</v>
      </c>
      <c r="H82" s="20">
        <v>0.63</v>
      </c>
      <c r="I82" s="141"/>
      <c r="J82" s="143"/>
      <c r="K82" s="16"/>
    </row>
    <row r="83" spans="1:11" s="28" customFormat="1" ht="18.75" customHeight="1">
      <c r="A83" s="178">
        <v>40</v>
      </c>
      <c r="B83" s="151" t="s">
        <v>149</v>
      </c>
      <c r="C83" s="150"/>
      <c r="D83" s="29" t="s">
        <v>58</v>
      </c>
      <c r="E83" s="40">
        <v>10</v>
      </c>
      <c r="F83" s="91">
        <v>2.58</v>
      </c>
      <c r="G83" s="91">
        <v>0.727</v>
      </c>
      <c r="H83" s="24">
        <v>6.693</v>
      </c>
      <c r="I83" s="140" t="s">
        <v>49</v>
      </c>
      <c r="J83" s="142">
        <f>'[1]Лист3'!N84</f>
        <v>44168.791666666664</v>
      </c>
      <c r="K83" s="16"/>
    </row>
    <row r="84" spans="1:11" ht="18.75" customHeight="1" thickBot="1">
      <c r="A84" s="152"/>
      <c r="B84" s="153"/>
      <c r="C84" s="153"/>
      <c r="D84" s="31" t="s">
        <v>63</v>
      </c>
      <c r="E84" s="32">
        <v>0.56</v>
      </c>
      <c r="F84" s="94">
        <v>0.048</v>
      </c>
      <c r="G84" s="94">
        <v>0.066</v>
      </c>
      <c r="H84" s="33">
        <v>0.446</v>
      </c>
      <c r="I84" s="141"/>
      <c r="J84" s="143"/>
      <c r="K84" s="16"/>
    </row>
    <row r="85" spans="1:11" s="28" customFormat="1" ht="18.75" customHeight="1">
      <c r="A85" s="175">
        <v>41</v>
      </c>
      <c r="B85" s="155" t="s">
        <v>131</v>
      </c>
      <c r="C85" s="131"/>
      <c r="D85" s="26" t="s">
        <v>62</v>
      </c>
      <c r="E85" s="35">
        <v>0</v>
      </c>
      <c r="F85" s="93">
        <v>0</v>
      </c>
      <c r="G85" s="93">
        <v>0</v>
      </c>
      <c r="H85" s="14">
        <v>0</v>
      </c>
      <c r="I85" s="140" t="s">
        <v>69</v>
      </c>
      <c r="J85" s="142">
        <f>'[1]Лист3'!N86</f>
        <v>43496.375</v>
      </c>
      <c r="K85" s="16"/>
    </row>
    <row r="86" spans="1:11" s="28" customFormat="1" ht="18.75" customHeight="1">
      <c r="A86" s="169"/>
      <c r="B86" s="179"/>
      <c r="C86" s="179"/>
      <c r="D86" s="46" t="s">
        <v>61</v>
      </c>
      <c r="E86" s="47">
        <v>6.3</v>
      </c>
      <c r="F86" s="97">
        <v>2.926</v>
      </c>
      <c r="G86" s="97">
        <v>0.46000000000000013</v>
      </c>
      <c r="H86" s="24">
        <v>2.9139999999999997</v>
      </c>
      <c r="I86" s="180"/>
      <c r="J86" s="181"/>
      <c r="K86" s="16"/>
    </row>
    <row r="87" spans="1:11" ht="18.75" customHeight="1" thickBot="1">
      <c r="A87" s="170"/>
      <c r="B87" s="139"/>
      <c r="C87" s="139"/>
      <c r="D87" s="17" t="s">
        <v>63</v>
      </c>
      <c r="E87" s="18">
        <v>0.882</v>
      </c>
      <c r="F87" s="92">
        <v>0.032</v>
      </c>
      <c r="G87" s="92">
        <v>0.009</v>
      </c>
      <c r="H87" s="20">
        <v>0.841</v>
      </c>
      <c r="I87" s="141"/>
      <c r="J87" s="143"/>
      <c r="K87" s="16"/>
    </row>
    <row r="88" spans="1:13" s="28" customFormat="1" ht="15.75" customHeight="1">
      <c r="A88" s="175">
        <v>42</v>
      </c>
      <c r="B88" s="155" t="s">
        <v>132</v>
      </c>
      <c r="C88" s="131"/>
      <c r="D88" s="43" t="s">
        <v>62</v>
      </c>
      <c r="E88" s="27">
        <v>0</v>
      </c>
      <c r="F88" s="95">
        <v>0</v>
      </c>
      <c r="G88" s="95">
        <v>0</v>
      </c>
      <c r="H88" s="14">
        <v>0</v>
      </c>
      <c r="I88" s="140" t="s">
        <v>50</v>
      </c>
      <c r="J88" s="142">
        <v>44222.416666666664</v>
      </c>
      <c r="K88" s="16"/>
      <c r="L88" s="182"/>
      <c r="M88" s="182"/>
    </row>
    <row r="89" spans="1:13" s="28" customFormat="1" ht="15.75" customHeight="1" thickBot="1">
      <c r="A89" s="169"/>
      <c r="B89" s="153"/>
      <c r="C89" s="153"/>
      <c r="D89" s="49" t="s">
        <v>60</v>
      </c>
      <c r="E89" s="50">
        <v>6.3</v>
      </c>
      <c r="F89" s="98">
        <v>8.002</v>
      </c>
      <c r="G89" s="98">
        <v>1.427</v>
      </c>
      <c r="H89" s="33">
        <v>0</v>
      </c>
      <c r="I89" s="141"/>
      <c r="J89" s="143"/>
      <c r="K89" s="16"/>
      <c r="L89" s="182"/>
      <c r="M89" s="182"/>
    </row>
    <row r="90" spans="1:12" s="28" customFormat="1" ht="18" customHeight="1">
      <c r="A90" s="157">
        <v>43</v>
      </c>
      <c r="B90" s="155" t="s">
        <v>133</v>
      </c>
      <c r="C90" s="131"/>
      <c r="D90" s="43" t="s">
        <v>62</v>
      </c>
      <c r="E90" s="27">
        <v>0</v>
      </c>
      <c r="F90" s="95">
        <v>0</v>
      </c>
      <c r="G90" s="95">
        <v>0</v>
      </c>
      <c r="H90" s="52">
        <v>0</v>
      </c>
      <c r="I90" s="140" t="s">
        <v>66</v>
      </c>
      <c r="J90" s="142">
        <v>44221.5</v>
      </c>
      <c r="K90" s="16"/>
      <c r="L90" s="6"/>
    </row>
    <row r="91" spans="1:14" s="28" customFormat="1" ht="18.75" customHeight="1" thickBot="1">
      <c r="A91" s="137"/>
      <c r="B91" s="139"/>
      <c r="C91" s="139"/>
      <c r="D91" s="53" t="s">
        <v>60</v>
      </c>
      <c r="E91" s="54">
        <v>6.3</v>
      </c>
      <c r="F91" s="99">
        <v>4.849</v>
      </c>
      <c r="G91" s="99">
        <v>0.636</v>
      </c>
      <c r="H91" s="20">
        <v>0.8149999999999996</v>
      </c>
      <c r="I91" s="141"/>
      <c r="J91" s="143"/>
      <c r="K91" s="16"/>
      <c r="L91" s="159"/>
      <c r="M91" s="159"/>
      <c r="N91" s="159"/>
    </row>
    <row r="92" spans="1:11" s="28" customFormat="1" ht="18.75" customHeight="1">
      <c r="A92" s="178">
        <v>44</v>
      </c>
      <c r="B92" s="151" t="s">
        <v>134</v>
      </c>
      <c r="C92" s="150"/>
      <c r="D92" s="55" t="s">
        <v>62</v>
      </c>
      <c r="E92" s="23">
        <v>0</v>
      </c>
      <c r="F92" s="100">
        <v>0</v>
      </c>
      <c r="G92" s="100">
        <v>0</v>
      </c>
      <c r="H92" s="24">
        <v>0</v>
      </c>
      <c r="I92" s="140" t="s">
        <v>52</v>
      </c>
      <c r="J92" s="142">
        <f>'[1]Лист3'!N93</f>
        <v>43500.458333333336</v>
      </c>
      <c r="K92" s="16"/>
    </row>
    <row r="93" spans="1:11" s="28" customFormat="1" ht="18.75" customHeight="1" thickBot="1">
      <c r="A93" s="152"/>
      <c r="B93" s="153"/>
      <c r="C93" s="153"/>
      <c r="D93" s="56" t="s">
        <v>60</v>
      </c>
      <c r="E93" s="51">
        <v>6.3</v>
      </c>
      <c r="F93" s="98">
        <v>2.326</v>
      </c>
      <c r="G93" s="98">
        <v>1.447</v>
      </c>
      <c r="H93" s="33">
        <v>2.5269999999999997</v>
      </c>
      <c r="I93" s="141"/>
      <c r="J93" s="143"/>
      <c r="K93" s="16"/>
    </row>
    <row r="94" spans="1:11" s="28" customFormat="1" ht="18.75" customHeight="1">
      <c r="A94" s="157">
        <v>45</v>
      </c>
      <c r="B94" s="155" t="s">
        <v>135</v>
      </c>
      <c r="C94" s="131"/>
      <c r="D94" s="43" t="s">
        <v>62</v>
      </c>
      <c r="E94" s="27">
        <v>0</v>
      </c>
      <c r="F94" s="95">
        <v>0</v>
      </c>
      <c r="G94" s="95">
        <v>0</v>
      </c>
      <c r="H94" s="14">
        <v>0</v>
      </c>
      <c r="I94" s="140" t="s">
        <v>51</v>
      </c>
      <c r="J94" s="142">
        <f>'[1]Лист3'!N95</f>
        <v>43509.708333333336</v>
      </c>
      <c r="K94" s="16"/>
    </row>
    <row r="95" spans="1:11" s="28" customFormat="1" ht="18.75" customHeight="1">
      <c r="A95" s="183"/>
      <c r="B95" s="184"/>
      <c r="C95" s="179"/>
      <c r="D95" s="46" t="s">
        <v>58</v>
      </c>
      <c r="E95" s="47">
        <v>10</v>
      </c>
      <c r="F95" s="97">
        <v>3.71</v>
      </c>
      <c r="G95" s="97">
        <v>0.646</v>
      </c>
      <c r="H95" s="24">
        <v>5.644</v>
      </c>
      <c r="I95" s="180"/>
      <c r="J95" s="181"/>
      <c r="K95" s="16"/>
    </row>
    <row r="96" spans="1:11" ht="18.75" customHeight="1" thickBot="1">
      <c r="A96" s="137"/>
      <c r="B96" s="139"/>
      <c r="C96" s="139"/>
      <c r="D96" s="41" t="s">
        <v>59</v>
      </c>
      <c r="E96" s="19">
        <v>0.882</v>
      </c>
      <c r="F96" s="92">
        <v>0.152</v>
      </c>
      <c r="G96" s="92">
        <v>0.025</v>
      </c>
      <c r="H96" s="20">
        <v>0.705</v>
      </c>
      <c r="I96" s="141"/>
      <c r="J96" s="143"/>
      <c r="K96" s="16"/>
    </row>
    <row r="97" spans="1:13" s="28" customFormat="1" ht="21.75" customHeight="1">
      <c r="A97" s="136">
        <v>46</v>
      </c>
      <c r="B97" s="155" t="s">
        <v>136</v>
      </c>
      <c r="C97" s="131"/>
      <c r="D97" s="43" t="s">
        <v>62</v>
      </c>
      <c r="E97" s="27">
        <v>0</v>
      </c>
      <c r="F97" s="95">
        <v>0</v>
      </c>
      <c r="G97" s="95">
        <v>0</v>
      </c>
      <c r="H97" s="14">
        <v>0</v>
      </c>
      <c r="I97" s="140" t="s">
        <v>67</v>
      </c>
      <c r="J97" s="142">
        <f>'[1]Лист3'!N98</f>
        <v>43502.416666666664</v>
      </c>
      <c r="K97" s="16"/>
      <c r="L97" s="185"/>
      <c r="M97" s="185"/>
    </row>
    <row r="98" spans="1:13" s="28" customFormat="1" ht="18.75" customHeight="1" thickBot="1">
      <c r="A98" s="137"/>
      <c r="B98" s="139"/>
      <c r="C98" s="139"/>
      <c r="D98" s="57" t="s">
        <v>60</v>
      </c>
      <c r="E98" s="58">
        <v>4</v>
      </c>
      <c r="F98" s="101">
        <v>3.439</v>
      </c>
      <c r="G98" s="101">
        <v>1.42227</v>
      </c>
      <c r="H98" s="20">
        <v>0</v>
      </c>
      <c r="I98" s="141"/>
      <c r="J98" s="143"/>
      <c r="K98" s="16"/>
      <c r="L98" s="185"/>
      <c r="M98" s="185"/>
    </row>
    <row r="99" spans="1:11" s="28" customFormat="1" ht="18.75" customHeight="1">
      <c r="A99" s="157">
        <v>47</v>
      </c>
      <c r="B99" s="155" t="s">
        <v>137</v>
      </c>
      <c r="C99" s="131"/>
      <c r="D99" s="43" t="s">
        <v>62</v>
      </c>
      <c r="E99" s="27">
        <v>0</v>
      </c>
      <c r="F99" s="95">
        <v>0</v>
      </c>
      <c r="G99" s="95">
        <v>0</v>
      </c>
      <c r="H99" s="14">
        <v>0</v>
      </c>
      <c r="I99" s="140" t="s">
        <v>51</v>
      </c>
      <c r="J99" s="142">
        <f>'[1]Лист3'!N100</f>
        <v>43497.541666666664</v>
      </c>
      <c r="K99" s="16"/>
    </row>
    <row r="100" spans="1:11" s="28" customFormat="1" ht="24" customHeight="1" thickBot="1">
      <c r="A100" s="137"/>
      <c r="B100" s="139"/>
      <c r="C100" s="139"/>
      <c r="D100" s="57" t="s">
        <v>60</v>
      </c>
      <c r="E100" s="58">
        <v>4</v>
      </c>
      <c r="F100" s="101">
        <v>1.084</v>
      </c>
      <c r="G100" s="101">
        <v>0.8</v>
      </c>
      <c r="H100" s="20">
        <v>2.1159999999999997</v>
      </c>
      <c r="I100" s="141"/>
      <c r="J100" s="143"/>
      <c r="K100" s="16"/>
    </row>
    <row r="101" spans="1:11" ht="18.75" customHeight="1">
      <c r="A101" s="178">
        <v>48</v>
      </c>
      <c r="B101" s="151" t="s">
        <v>138</v>
      </c>
      <c r="C101" s="150"/>
      <c r="D101" s="59" t="s">
        <v>62</v>
      </c>
      <c r="E101" s="30">
        <v>0</v>
      </c>
      <c r="F101" s="100">
        <v>0</v>
      </c>
      <c r="G101" s="100">
        <v>0</v>
      </c>
      <c r="H101" s="24">
        <v>0</v>
      </c>
      <c r="I101" s="140" t="s">
        <v>51</v>
      </c>
      <c r="J101" s="142">
        <f>'[1]Лист3'!N102</f>
        <v>43731.458333333336</v>
      </c>
      <c r="K101" s="16"/>
    </row>
    <row r="102" spans="1:11" s="28" customFormat="1" ht="18.75" customHeight="1" thickBot="1">
      <c r="A102" s="152"/>
      <c r="B102" s="153"/>
      <c r="C102" s="153"/>
      <c r="D102" s="49" t="s">
        <v>60</v>
      </c>
      <c r="E102" s="50">
        <v>6.3</v>
      </c>
      <c r="F102" s="98">
        <v>2.329</v>
      </c>
      <c r="G102" s="98">
        <v>0</v>
      </c>
      <c r="H102" s="33">
        <v>3.9709999999999996</v>
      </c>
      <c r="I102" s="141"/>
      <c r="J102" s="143"/>
      <c r="K102" s="16"/>
    </row>
    <row r="103" spans="1:11" ht="18.75" customHeight="1">
      <c r="A103" s="157">
        <v>49</v>
      </c>
      <c r="B103" s="155" t="s">
        <v>139</v>
      </c>
      <c r="C103" s="131"/>
      <c r="D103" s="43" t="s">
        <v>62</v>
      </c>
      <c r="E103" s="27">
        <v>0</v>
      </c>
      <c r="F103" s="95">
        <v>0</v>
      </c>
      <c r="G103" s="95">
        <v>0</v>
      </c>
      <c r="H103" s="14">
        <v>0</v>
      </c>
      <c r="I103" s="140" t="s">
        <v>53</v>
      </c>
      <c r="J103" s="142">
        <v>44220.916666666664</v>
      </c>
      <c r="K103" s="16"/>
    </row>
    <row r="104" spans="1:11" s="28" customFormat="1" ht="18.75" customHeight="1" thickBot="1">
      <c r="A104" s="137"/>
      <c r="B104" s="139"/>
      <c r="C104" s="139"/>
      <c r="D104" s="57" t="s">
        <v>58</v>
      </c>
      <c r="E104" s="58">
        <v>10</v>
      </c>
      <c r="F104" s="101">
        <v>4.132</v>
      </c>
      <c r="G104" s="101">
        <v>0</v>
      </c>
      <c r="H104" s="20">
        <v>5.868</v>
      </c>
      <c r="I104" s="141"/>
      <c r="J104" s="143"/>
      <c r="K104" s="16"/>
    </row>
    <row r="105" spans="1:11" ht="18.75" customHeight="1">
      <c r="A105" s="175">
        <v>50</v>
      </c>
      <c r="B105" s="155" t="s">
        <v>140</v>
      </c>
      <c r="C105" s="131"/>
      <c r="D105" s="43" t="s">
        <v>62</v>
      </c>
      <c r="E105" s="27">
        <v>0</v>
      </c>
      <c r="F105" s="95">
        <v>0</v>
      </c>
      <c r="G105" s="95">
        <v>0</v>
      </c>
      <c r="H105" s="14">
        <v>0</v>
      </c>
      <c r="I105" s="140" t="s">
        <v>67</v>
      </c>
      <c r="J105" s="142">
        <v>44551.75</v>
      </c>
      <c r="K105" s="16"/>
    </row>
    <row r="106" spans="1:11" s="28" customFormat="1" ht="18.75" customHeight="1" thickBot="1">
      <c r="A106" s="170"/>
      <c r="B106" s="139"/>
      <c r="C106" s="139"/>
      <c r="D106" s="57" t="s">
        <v>58</v>
      </c>
      <c r="E106" s="58">
        <v>6.3</v>
      </c>
      <c r="F106" s="101">
        <v>3.592</v>
      </c>
      <c r="G106" s="101">
        <v>0.275</v>
      </c>
      <c r="H106" s="20">
        <v>2.433</v>
      </c>
      <c r="I106" s="141"/>
      <c r="J106" s="143"/>
      <c r="K106" s="16"/>
    </row>
    <row r="107" spans="1:11" ht="24" customHeight="1">
      <c r="A107" s="157">
        <v>51</v>
      </c>
      <c r="B107" s="155" t="s">
        <v>141</v>
      </c>
      <c r="C107" s="131"/>
      <c r="D107" s="43" t="s">
        <v>62</v>
      </c>
      <c r="E107" s="27">
        <v>0</v>
      </c>
      <c r="F107" s="95">
        <v>0</v>
      </c>
      <c r="G107" s="95">
        <v>0</v>
      </c>
      <c r="H107" s="14">
        <v>0</v>
      </c>
      <c r="I107" s="140" t="s">
        <v>54</v>
      </c>
      <c r="J107" s="142">
        <f>'[1]Лист3'!N108</f>
        <v>43498.791666666664</v>
      </c>
      <c r="K107" s="16"/>
    </row>
    <row r="108" spans="1:11" s="28" customFormat="1" ht="24.75" customHeight="1" thickBot="1">
      <c r="A108" s="137"/>
      <c r="B108" s="139"/>
      <c r="C108" s="139"/>
      <c r="D108" s="57" t="s">
        <v>60</v>
      </c>
      <c r="E108" s="58">
        <v>4</v>
      </c>
      <c r="F108" s="101">
        <v>1.739</v>
      </c>
      <c r="G108" s="101">
        <v>0.86</v>
      </c>
      <c r="H108" s="20">
        <v>1.4010000000000002</v>
      </c>
      <c r="I108" s="141"/>
      <c r="J108" s="143"/>
      <c r="K108" s="16"/>
    </row>
    <row r="109" spans="1:11" ht="18.75" customHeight="1">
      <c r="A109" s="157">
        <v>52</v>
      </c>
      <c r="B109" s="155" t="s">
        <v>142</v>
      </c>
      <c r="C109" s="131"/>
      <c r="D109" s="43" t="s">
        <v>62</v>
      </c>
      <c r="E109" s="27">
        <v>0</v>
      </c>
      <c r="F109" s="100">
        <v>0</v>
      </c>
      <c r="G109" s="100">
        <v>0</v>
      </c>
      <c r="H109" s="14">
        <v>0</v>
      </c>
      <c r="I109" s="140" t="s">
        <v>55</v>
      </c>
      <c r="J109" s="142">
        <v>44549.333333333336</v>
      </c>
      <c r="K109" s="16"/>
    </row>
    <row r="110" spans="1:11" s="28" customFormat="1" ht="18.75" customHeight="1" thickBot="1">
      <c r="A110" s="137"/>
      <c r="B110" s="139"/>
      <c r="C110" s="139"/>
      <c r="D110" s="57" t="s">
        <v>58</v>
      </c>
      <c r="E110" s="58">
        <v>6.3</v>
      </c>
      <c r="F110" s="98">
        <v>1.415</v>
      </c>
      <c r="G110" s="98">
        <v>0.3655</v>
      </c>
      <c r="H110" s="20">
        <v>4.5195</v>
      </c>
      <c r="I110" s="141"/>
      <c r="J110" s="143"/>
      <c r="K110" s="16"/>
    </row>
    <row r="111" spans="1:11" ht="18.75" customHeight="1">
      <c r="A111" s="136">
        <v>53</v>
      </c>
      <c r="B111" s="155" t="s">
        <v>143</v>
      </c>
      <c r="C111" s="131"/>
      <c r="D111" s="43" t="s">
        <v>62</v>
      </c>
      <c r="E111" s="27">
        <v>0</v>
      </c>
      <c r="F111" s="95">
        <v>0</v>
      </c>
      <c r="G111" s="95">
        <v>0</v>
      </c>
      <c r="H111" s="14">
        <v>0</v>
      </c>
      <c r="I111" s="140" t="s">
        <v>56</v>
      </c>
      <c r="J111" s="142">
        <f>'[1]Лист3'!N112</f>
        <v>43497.875</v>
      </c>
      <c r="K111" s="16"/>
    </row>
    <row r="112" spans="1:11" s="28" customFormat="1" ht="18.75" customHeight="1" thickBot="1">
      <c r="A112" s="137"/>
      <c r="B112" s="139"/>
      <c r="C112" s="139"/>
      <c r="D112" s="57" t="s">
        <v>60</v>
      </c>
      <c r="E112" s="58">
        <v>6.3</v>
      </c>
      <c r="F112" s="101">
        <v>2.532</v>
      </c>
      <c r="G112" s="101">
        <v>0.13008499999999998</v>
      </c>
      <c r="H112" s="20">
        <v>3.637915</v>
      </c>
      <c r="I112" s="141"/>
      <c r="J112" s="143"/>
      <c r="K112" s="16"/>
    </row>
    <row r="113" spans="1:12" ht="18.75" customHeight="1">
      <c r="A113" s="136">
        <v>54</v>
      </c>
      <c r="B113" s="155" t="s">
        <v>144</v>
      </c>
      <c r="C113" s="155"/>
      <c r="D113" s="60" t="s">
        <v>62</v>
      </c>
      <c r="E113" s="21">
        <v>0</v>
      </c>
      <c r="F113" s="95">
        <v>0</v>
      </c>
      <c r="G113" s="95">
        <v>0</v>
      </c>
      <c r="H113" s="14">
        <v>0</v>
      </c>
      <c r="I113" s="140" t="s">
        <v>93</v>
      </c>
      <c r="J113" s="142">
        <v>44221.875</v>
      </c>
      <c r="K113" s="16"/>
      <c r="L113" s="62"/>
    </row>
    <row r="114" spans="1:11" s="28" customFormat="1" ht="18.75" customHeight="1" thickBot="1">
      <c r="A114" s="137"/>
      <c r="B114" s="156"/>
      <c r="C114" s="156"/>
      <c r="D114" s="61" t="s">
        <v>58</v>
      </c>
      <c r="E114" s="48">
        <v>10</v>
      </c>
      <c r="F114" s="101">
        <v>5.104</v>
      </c>
      <c r="G114" s="101">
        <v>0.45</v>
      </c>
      <c r="H114" s="20">
        <v>4.446</v>
      </c>
      <c r="I114" s="141"/>
      <c r="J114" s="143"/>
      <c r="K114" s="16"/>
    </row>
    <row r="115" spans="1:11" ht="18.75" customHeight="1">
      <c r="A115" s="136">
        <v>55</v>
      </c>
      <c r="B115" s="131" t="s">
        <v>145</v>
      </c>
      <c r="C115" s="131"/>
      <c r="D115" s="43" t="s">
        <v>62</v>
      </c>
      <c r="E115" s="27">
        <v>0</v>
      </c>
      <c r="F115" s="95">
        <v>0</v>
      </c>
      <c r="G115" s="95">
        <v>0</v>
      </c>
      <c r="H115" s="14">
        <v>0</v>
      </c>
      <c r="I115" s="140" t="s">
        <v>93</v>
      </c>
      <c r="J115" s="142">
        <f>'[1]Лист3'!N116</f>
        <v>43700.833333333336</v>
      </c>
      <c r="K115" s="16"/>
    </row>
    <row r="116" spans="1:11" s="28" customFormat="1" ht="18.75" customHeight="1" thickBot="1">
      <c r="A116" s="137"/>
      <c r="B116" s="139"/>
      <c r="C116" s="139"/>
      <c r="D116" s="57" t="s">
        <v>58</v>
      </c>
      <c r="E116" s="58">
        <v>16</v>
      </c>
      <c r="F116" s="101">
        <v>3.972</v>
      </c>
      <c r="G116" s="101">
        <v>2.6790000000000003</v>
      </c>
      <c r="H116" s="20">
        <v>9.349</v>
      </c>
      <c r="I116" s="141"/>
      <c r="J116" s="143"/>
      <c r="K116" s="16"/>
    </row>
    <row r="117" spans="1:3" ht="12">
      <c r="A117" s="62"/>
      <c r="B117" s="186"/>
      <c r="C117" s="186"/>
    </row>
    <row r="120" spans="1:3" ht="12">
      <c r="A120" s="64"/>
      <c r="B120" s="64"/>
      <c r="C120" s="64"/>
    </row>
    <row r="130" spans="2:11" ht="12">
      <c r="B130" s="63"/>
      <c r="C130" s="63"/>
      <c r="I130" s="3"/>
      <c r="K130" s="5"/>
    </row>
    <row r="131" spans="2:11" ht="12">
      <c r="B131" s="63"/>
      <c r="C131" s="63"/>
      <c r="I131" s="3"/>
      <c r="K131" s="5"/>
    </row>
    <row r="132" spans="2:11" ht="12">
      <c r="B132" s="63"/>
      <c r="C132" s="63"/>
      <c r="I132" s="3"/>
      <c r="K132" s="5"/>
    </row>
    <row r="133" spans="2:11" ht="12">
      <c r="B133" s="63"/>
      <c r="C133" s="63"/>
      <c r="I133" s="3"/>
      <c r="K133" s="5"/>
    </row>
    <row r="134" spans="2:11" ht="12">
      <c r="B134" s="63"/>
      <c r="C134" s="63"/>
      <c r="I134" s="3"/>
      <c r="K134" s="5"/>
    </row>
    <row r="135" spans="2:11" ht="12">
      <c r="B135" s="63"/>
      <c r="C135" s="63"/>
      <c r="I135" s="3"/>
      <c r="K135" s="5"/>
    </row>
    <row r="136" spans="2:11" ht="12">
      <c r="B136" s="63"/>
      <c r="C136" s="63"/>
      <c r="I136" s="3"/>
      <c r="K136" s="5"/>
    </row>
    <row r="137" spans="2:11" ht="12">
      <c r="B137" s="63"/>
      <c r="C137" s="63"/>
      <c r="I137" s="3"/>
      <c r="K137" s="5"/>
    </row>
    <row r="138" spans="2:11" ht="12">
      <c r="B138" s="63"/>
      <c r="C138" s="63"/>
      <c r="I138" s="3"/>
      <c r="K138" s="5"/>
    </row>
    <row r="139" spans="2:11" ht="12">
      <c r="B139" s="63"/>
      <c r="C139" s="63"/>
      <c r="I139" s="3"/>
      <c r="K139" s="5"/>
    </row>
    <row r="140" spans="2:11" ht="12">
      <c r="B140" s="63"/>
      <c r="C140" s="63"/>
      <c r="I140" s="3"/>
      <c r="K140" s="5"/>
    </row>
    <row r="141" spans="2:11" ht="12">
      <c r="B141" s="63"/>
      <c r="C141" s="63"/>
      <c r="I141" s="3"/>
      <c r="K141" s="5"/>
    </row>
    <row r="142" spans="2:11" ht="12">
      <c r="B142" s="63"/>
      <c r="C142" s="63"/>
      <c r="I142" s="3"/>
      <c r="K142" s="5"/>
    </row>
    <row r="143" spans="2:11" ht="12">
      <c r="B143" s="63"/>
      <c r="C143" s="63"/>
      <c r="I143" s="3"/>
      <c r="K143" s="5"/>
    </row>
    <row r="144" spans="2:11" ht="12">
      <c r="B144" s="63"/>
      <c r="C144" s="63"/>
      <c r="I144" s="3"/>
      <c r="K144" s="5"/>
    </row>
  </sheetData>
  <sheetProtection/>
  <mergeCells count="238">
    <mergeCell ref="B117:C117"/>
    <mergeCell ref="A113:A114"/>
    <mergeCell ref="B113:C114"/>
    <mergeCell ref="I113:I114"/>
    <mergeCell ref="J113:J114"/>
    <mergeCell ref="A115:A116"/>
    <mergeCell ref="B115:C116"/>
    <mergeCell ref="I115:I116"/>
    <mergeCell ref="J115:J116"/>
    <mergeCell ref="A109:A110"/>
    <mergeCell ref="B109:C110"/>
    <mergeCell ref="I109:I110"/>
    <mergeCell ref="J109:J110"/>
    <mergeCell ref="A111:A112"/>
    <mergeCell ref="B111:C112"/>
    <mergeCell ref="I111:I112"/>
    <mergeCell ref="J111:J112"/>
    <mergeCell ref="A105:A106"/>
    <mergeCell ref="B105:C106"/>
    <mergeCell ref="I105:I106"/>
    <mergeCell ref="J105:J106"/>
    <mergeCell ref="A107:A108"/>
    <mergeCell ref="B107:C108"/>
    <mergeCell ref="I107:I108"/>
    <mergeCell ref="J107:J108"/>
    <mergeCell ref="A101:A102"/>
    <mergeCell ref="B101:C102"/>
    <mergeCell ref="I101:I102"/>
    <mergeCell ref="J101:J102"/>
    <mergeCell ref="A103:A104"/>
    <mergeCell ref="B103:C104"/>
    <mergeCell ref="I103:I104"/>
    <mergeCell ref="J103:J104"/>
    <mergeCell ref="A97:A98"/>
    <mergeCell ref="B97:C98"/>
    <mergeCell ref="I97:I98"/>
    <mergeCell ref="J97:J98"/>
    <mergeCell ref="L97:M98"/>
    <mergeCell ref="A99:A100"/>
    <mergeCell ref="B99:C100"/>
    <mergeCell ref="I99:I100"/>
    <mergeCell ref="J99:J100"/>
    <mergeCell ref="A92:A93"/>
    <mergeCell ref="B92:C93"/>
    <mergeCell ref="I92:I93"/>
    <mergeCell ref="J92:J93"/>
    <mergeCell ref="A94:A96"/>
    <mergeCell ref="B94:C96"/>
    <mergeCell ref="I94:I96"/>
    <mergeCell ref="J94:J96"/>
    <mergeCell ref="A88:A89"/>
    <mergeCell ref="B88:C89"/>
    <mergeCell ref="I88:I89"/>
    <mergeCell ref="J88:J89"/>
    <mergeCell ref="L88:M89"/>
    <mergeCell ref="A90:A91"/>
    <mergeCell ref="B90:C91"/>
    <mergeCell ref="I90:I91"/>
    <mergeCell ref="J90:J91"/>
    <mergeCell ref="L91:N91"/>
    <mergeCell ref="A83:A84"/>
    <mergeCell ref="B83:C84"/>
    <mergeCell ref="I83:I84"/>
    <mergeCell ref="J83:J84"/>
    <mergeCell ref="A85:A87"/>
    <mergeCell ref="B85:C87"/>
    <mergeCell ref="I85:I87"/>
    <mergeCell ref="J85:J87"/>
    <mergeCell ref="A79:A80"/>
    <mergeCell ref="B79:C80"/>
    <mergeCell ref="I79:I80"/>
    <mergeCell ref="J79:J80"/>
    <mergeCell ref="A81:A82"/>
    <mergeCell ref="B81:C82"/>
    <mergeCell ref="I81:I82"/>
    <mergeCell ref="J81:J82"/>
    <mergeCell ref="A75:A76"/>
    <mergeCell ref="B75:C76"/>
    <mergeCell ref="I75:I76"/>
    <mergeCell ref="J75:J76"/>
    <mergeCell ref="A77:A78"/>
    <mergeCell ref="B77:C78"/>
    <mergeCell ref="I77:I78"/>
    <mergeCell ref="J77:J78"/>
    <mergeCell ref="A71:A72"/>
    <mergeCell ref="B71:C72"/>
    <mergeCell ref="I71:I72"/>
    <mergeCell ref="J71:J72"/>
    <mergeCell ref="A73:A74"/>
    <mergeCell ref="B73:C74"/>
    <mergeCell ref="I73:I74"/>
    <mergeCell ref="J73:J74"/>
    <mergeCell ref="A67:A68"/>
    <mergeCell ref="B67:C68"/>
    <mergeCell ref="I67:I68"/>
    <mergeCell ref="J67:J68"/>
    <mergeCell ref="A69:A70"/>
    <mergeCell ref="B69:C70"/>
    <mergeCell ref="I69:I70"/>
    <mergeCell ref="J69:J70"/>
    <mergeCell ref="A62:A63"/>
    <mergeCell ref="B62:C63"/>
    <mergeCell ref="I62:I63"/>
    <mergeCell ref="J62:J63"/>
    <mergeCell ref="A64:A65"/>
    <mergeCell ref="B64:C65"/>
    <mergeCell ref="I64:I65"/>
    <mergeCell ref="J64:J65"/>
    <mergeCell ref="A58:A59"/>
    <mergeCell ref="B58:C59"/>
    <mergeCell ref="I58:I59"/>
    <mergeCell ref="J58:J59"/>
    <mergeCell ref="A60:A61"/>
    <mergeCell ref="B60:C61"/>
    <mergeCell ref="I60:I61"/>
    <mergeCell ref="J60:J61"/>
    <mergeCell ref="A54:A55"/>
    <mergeCell ref="B54:C55"/>
    <mergeCell ref="I54:I55"/>
    <mergeCell ref="J54:J55"/>
    <mergeCell ref="A56:A57"/>
    <mergeCell ref="B56:C57"/>
    <mergeCell ref="I56:I57"/>
    <mergeCell ref="J56:J57"/>
    <mergeCell ref="L51:M51"/>
    <mergeCell ref="A52:A53"/>
    <mergeCell ref="B52:C53"/>
    <mergeCell ref="I52:I53"/>
    <mergeCell ref="J52:J53"/>
    <mergeCell ref="L52:M53"/>
    <mergeCell ref="A48:A49"/>
    <mergeCell ref="B48:C49"/>
    <mergeCell ref="I48:I49"/>
    <mergeCell ref="J48:J49"/>
    <mergeCell ref="A50:A51"/>
    <mergeCell ref="B50:C51"/>
    <mergeCell ref="I50:I51"/>
    <mergeCell ref="J50:J51"/>
    <mergeCell ref="A44:A45"/>
    <mergeCell ref="B44:C45"/>
    <mergeCell ref="I44:I45"/>
    <mergeCell ref="J44:J45"/>
    <mergeCell ref="L44:M45"/>
    <mergeCell ref="A46:A47"/>
    <mergeCell ref="B46:C47"/>
    <mergeCell ref="I46:I47"/>
    <mergeCell ref="J46:J47"/>
    <mergeCell ref="A40:A41"/>
    <mergeCell ref="B40:C41"/>
    <mergeCell ref="I40:I41"/>
    <mergeCell ref="J40:J41"/>
    <mergeCell ref="A42:A43"/>
    <mergeCell ref="B42:C43"/>
    <mergeCell ref="I42:I43"/>
    <mergeCell ref="J42:J43"/>
    <mergeCell ref="A36:A37"/>
    <mergeCell ref="B36:C37"/>
    <mergeCell ref="I36:I37"/>
    <mergeCell ref="J36:J37"/>
    <mergeCell ref="A38:A39"/>
    <mergeCell ref="B38:C39"/>
    <mergeCell ref="I38:I39"/>
    <mergeCell ref="J38:J39"/>
    <mergeCell ref="A32:A33"/>
    <mergeCell ref="B32:C33"/>
    <mergeCell ref="I32:I33"/>
    <mergeCell ref="J32:J33"/>
    <mergeCell ref="A34:A35"/>
    <mergeCell ref="B34:C35"/>
    <mergeCell ref="I34:I35"/>
    <mergeCell ref="J34:J35"/>
    <mergeCell ref="A28:A29"/>
    <mergeCell ref="B28:C29"/>
    <mergeCell ref="I28:I29"/>
    <mergeCell ref="J28:J29"/>
    <mergeCell ref="A30:A31"/>
    <mergeCell ref="B30:C31"/>
    <mergeCell ref="I30:I31"/>
    <mergeCell ref="J30:J31"/>
    <mergeCell ref="A24:A25"/>
    <mergeCell ref="B24:C25"/>
    <mergeCell ref="I24:I25"/>
    <mergeCell ref="J24:J25"/>
    <mergeCell ref="A26:A27"/>
    <mergeCell ref="B26:C27"/>
    <mergeCell ref="I26:I27"/>
    <mergeCell ref="J26:J27"/>
    <mergeCell ref="A20:A21"/>
    <mergeCell ref="B20:C21"/>
    <mergeCell ref="I20:I21"/>
    <mergeCell ref="J20:J21"/>
    <mergeCell ref="A22:A23"/>
    <mergeCell ref="B22:C23"/>
    <mergeCell ref="I22:I23"/>
    <mergeCell ref="J22:J23"/>
    <mergeCell ref="A16:A17"/>
    <mergeCell ref="B16:C17"/>
    <mergeCell ref="I16:I17"/>
    <mergeCell ref="J16:J17"/>
    <mergeCell ref="L16:M17"/>
    <mergeCell ref="A18:A19"/>
    <mergeCell ref="B18:C19"/>
    <mergeCell ref="I18:I19"/>
    <mergeCell ref="J18:J19"/>
    <mergeCell ref="A12:A13"/>
    <mergeCell ref="B12:C13"/>
    <mergeCell ref="I12:I13"/>
    <mergeCell ref="J12:J13"/>
    <mergeCell ref="A14:A15"/>
    <mergeCell ref="B14:C15"/>
    <mergeCell ref="I14:I15"/>
    <mergeCell ref="J14:J15"/>
    <mergeCell ref="J8:J9"/>
    <mergeCell ref="A10:A11"/>
    <mergeCell ref="B10:C11"/>
    <mergeCell ref="I10:I11"/>
    <mergeCell ref="J10:J11"/>
    <mergeCell ref="B8:C9"/>
    <mergeCell ref="I8:I9"/>
    <mergeCell ref="N4:N5"/>
    <mergeCell ref="A6:A7"/>
    <mergeCell ref="B6:C7"/>
    <mergeCell ref="I6:I7"/>
    <mergeCell ref="J6:J7"/>
    <mergeCell ref="G4:G5"/>
    <mergeCell ref="I4:I5"/>
    <mergeCell ref="J4:J5"/>
    <mergeCell ref="K4:K5"/>
    <mergeCell ref="A1:J1"/>
    <mergeCell ref="H4:H5"/>
    <mergeCell ref="F4:F5"/>
    <mergeCell ref="A3:I3"/>
    <mergeCell ref="B66:C66"/>
    <mergeCell ref="A4:A5"/>
    <mergeCell ref="B4:C5"/>
    <mergeCell ref="D4:D5"/>
    <mergeCell ref="E4:E5"/>
    <mergeCell ref="A8:A9"/>
  </mergeCells>
  <printOptions/>
  <pageMargins left="0.7" right="0.7" top="0.75" bottom="0.75" header="0.3" footer="0.3"/>
  <pageSetup fitToHeight="0" fitToWidth="1" horizontalDpi="1200" verticalDpi="12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12.75" customHeight="1">
      <c r="A2" s="196" t="s">
        <v>407</v>
      </c>
      <c r="B2" s="196"/>
      <c r="C2" s="196"/>
      <c r="D2" s="196"/>
      <c r="E2" s="196"/>
      <c r="F2" s="196"/>
      <c r="G2" s="196"/>
      <c r="H2" s="196"/>
      <c r="I2" s="196"/>
    </row>
    <row r="4" spans="1:9" ht="12.75" customHeight="1">
      <c r="A4" s="197" t="s">
        <v>152</v>
      </c>
      <c r="B4" s="199" t="s">
        <v>71</v>
      </c>
      <c r="C4" s="199" t="s">
        <v>64</v>
      </c>
      <c r="D4" s="199" t="s">
        <v>79</v>
      </c>
      <c r="E4" s="202" t="s">
        <v>153</v>
      </c>
      <c r="F4" s="202" t="s">
        <v>83</v>
      </c>
      <c r="G4" s="199" t="s">
        <v>80</v>
      </c>
      <c r="H4" s="199" t="s">
        <v>154</v>
      </c>
      <c r="I4" s="199" t="s">
        <v>87</v>
      </c>
    </row>
    <row r="5" spans="1:9" ht="12.75">
      <c r="A5" s="198"/>
      <c r="B5" s="200"/>
      <c r="C5" s="201"/>
      <c r="D5" s="200"/>
      <c r="E5" s="203"/>
      <c r="F5" s="203"/>
      <c r="G5" s="200"/>
      <c r="H5" s="201"/>
      <c r="I5" s="201"/>
    </row>
    <row r="6" spans="1:9" ht="15.75" customHeight="1">
      <c r="A6" s="189" t="s">
        <v>0</v>
      </c>
      <c r="B6" s="195" t="s">
        <v>408</v>
      </c>
      <c r="C6" s="118" t="s">
        <v>409</v>
      </c>
      <c r="D6" s="119">
        <v>0</v>
      </c>
      <c r="E6" s="120">
        <v>0</v>
      </c>
      <c r="F6" s="121">
        <v>0</v>
      </c>
      <c r="G6" s="122">
        <f>D6-E6-F6</f>
        <v>0</v>
      </c>
      <c r="H6" s="191" t="s">
        <v>410</v>
      </c>
      <c r="I6" s="193">
        <v>44911.75</v>
      </c>
    </row>
    <row r="7" spans="1:9" ht="15.75">
      <c r="A7" s="190"/>
      <c r="B7" s="190"/>
      <c r="C7" s="118" t="s">
        <v>411</v>
      </c>
      <c r="D7" s="119">
        <v>6.3</v>
      </c>
      <c r="E7" s="120">
        <v>1.75</v>
      </c>
      <c r="F7" s="121">
        <f>8.289+0.07109+0.007+0.03+0.015+0.04</f>
        <v>8.452089999999998</v>
      </c>
      <c r="G7" s="122">
        <v>0</v>
      </c>
      <c r="H7" s="192"/>
      <c r="I7" s="194"/>
    </row>
    <row r="8" spans="1:9" ht="15.75" customHeight="1">
      <c r="A8" s="187" t="s">
        <v>1</v>
      </c>
      <c r="B8" s="189" t="s">
        <v>412</v>
      </c>
      <c r="C8" s="118" t="s">
        <v>409</v>
      </c>
      <c r="D8" s="119">
        <v>0</v>
      </c>
      <c r="E8" s="120">
        <v>0</v>
      </c>
      <c r="F8" s="121">
        <v>0</v>
      </c>
      <c r="G8" s="122">
        <f aca="true" t="shared" si="0" ref="G8:G34">D8-E8-F8</f>
        <v>0</v>
      </c>
      <c r="H8" s="191" t="s">
        <v>413</v>
      </c>
      <c r="I8" s="193">
        <v>44911.666666666664</v>
      </c>
    </row>
    <row r="9" spans="1:9" ht="15.75">
      <c r="A9" s="188"/>
      <c r="B9" s="190"/>
      <c r="C9" s="118" t="s">
        <v>414</v>
      </c>
      <c r="D9" s="119">
        <v>10</v>
      </c>
      <c r="E9" s="120">
        <v>4.57</v>
      </c>
      <c r="F9" s="121">
        <f>21.5997+0.32888+0.063+0.094+0.4199+0.031+0.1644+0.102+0.13</f>
        <v>22.932879999999997</v>
      </c>
      <c r="G9" s="122">
        <v>0</v>
      </c>
      <c r="H9" s="192"/>
      <c r="I9" s="194"/>
    </row>
    <row r="10" spans="1:9" ht="15.75" customHeight="1">
      <c r="A10" s="187" t="s">
        <v>2</v>
      </c>
      <c r="B10" s="189" t="s">
        <v>415</v>
      </c>
      <c r="C10" s="118" t="s">
        <v>409</v>
      </c>
      <c r="D10" s="119">
        <v>0</v>
      </c>
      <c r="E10" s="120">
        <v>0</v>
      </c>
      <c r="F10" s="121">
        <v>0</v>
      </c>
      <c r="G10" s="122">
        <f t="shared" si="0"/>
        <v>0</v>
      </c>
      <c r="H10" s="191" t="s">
        <v>410</v>
      </c>
      <c r="I10" s="193">
        <v>44911.708333333336</v>
      </c>
    </row>
    <row r="11" spans="1:9" ht="15.75">
      <c r="A11" s="188"/>
      <c r="B11" s="190"/>
      <c r="C11" s="118" t="s">
        <v>411</v>
      </c>
      <c r="D11" s="119">
        <v>10</v>
      </c>
      <c r="E11" s="120">
        <v>2.53</v>
      </c>
      <c r="F11" s="121">
        <f>11.976+0.06605+0.045+0.035+0.26+0.0114+0.215+0.005</f>
        <v>12.613450000000002</v>
      </c>
      <c r="G11" s="122">
        <v>0</v>
      </c>
      <c r="H11" s="192"/>
      <c r="I11" s="194"/>
    </row>
    <row r="12" spans="1:9" ht="15.75" customHeight="1">
      <c r="A12" s="187" t="s">
        <v>3</v>
      </c>
      <c r="B12" s="189" t="s">
        <v>416</v>
      </c>
      <c r="C12" s="118" t="s">
        <v>409</v>
      </c>
      <c r="D12" s="119">
        <v>0</v>
      </c>
      <c r="E12" s="120">
        <v>0</v>
      </c>
      <c r="F12" s="121">
        <v>0</v>
      </c>
      <c r="G12" s="122">
        <f t="shared" si="0"/>
        <v>0</v>
      </c>
      <c r="H12" s="191" t="s">
        <v>410</v>
      </c>
      <c r="I12" s="193">
        <v>44911.541666666664</v>
      </c>
    </row>
    <row r="13" spans="1:9" ht="15.75">
      <c r="A13" s="188"/>
      <c r="B13" s="190"/>
      <c r="C13" s="118" t="s">
        <v>411</v>
      </c>
      <c r="D13" s="119">
        <v>6.3</v>
      </c>
      <c r="E13" s="120">
        <v>0.08</v>
      </c>
      <c r="F13" s="121">
        <f>1.857+0.085+0.005+0.044+0.118+0.032+0.038+0.069+0.025</f>
        <v>2.2729999999999997</v>
      </c>
      <c r="G13" s="122">
        <f>D13-E13-F13</f>
        <v>3.947</v>
      </c>
      <c r="H13" s="192"/>
      <c r="I13" s="194"/>
    </row>
    <row r="14" spans="1:9" ht="15.75" customHeight="1">
      <c r="A14" s="187" t="s">
        <v>4</v>
      </c>
      <c r="B14" s="189" t="s">
        <v>417</v>
      </c>
      <c r="C14" s="118" t="s">
        <v>409</v>
      </c>
      <c r="D14" s="119">
        <v>0</v>
      </c>
      <c r="E14" s="120">
        <v>0</v>
      </c>
      <c r="F14" s="121">
        <v>0</v>
      </c>
      <c r="G14" s="122">
        <f t="shared" si="0"/>
        <v>0</v>
      </c>
      <c r="H14" s="191" t="s">
        <v>418</v>
      </c>
      <c r="I14" s="193">
        <v>44911.583333333336</v>
      </c>
    </row>
    <row r="15" spans="1:9" ht="15.75">
      <c r="A15" s="188"/>
      <c r="B15" s="190"/>
      <c r="C15" s="118" t="s">
        <v>414</v>
      </c>
      <c r="D15" s="119">
        <v>6.3</v>
      </c>
      <c r="E15" s="120">
        <v>0.15</v>
      </c>
      <c r="F15" s="121">
        <f>0.5+0.02+0.044+0.005</f>
        <v>0.5690000000000001</v>
      </c>
      <c r="G15" s="122">
        <f t="shared" si="0"/>
        <v>5.5809999999999995</v>
      </c>
      <c r="H15" s="192"/>
      <c r="I15" s="194"/>
    </row>
    <row r="16" spans="1:9" ht="15.75" customHeight="1">
      <c r="A16" s="187" t="s">
        <v>5</v>
      </c>
      <c r="B16" s="189" t="s">
        <v>419</v>
      </c>
      <c r="C16" s="118" t="s">
        <v>409</v>
      </c>
      <c r="D16" s="119">
        <v>0</v>
      </c>
      <c r="E16" s="120">
        <v>0</v>
      </c>
      <c r="F16" s="121">
        <v>0</v>
      </c>
      <c r="G16" s="122">
        <f t="shared" si="0"/>
        <v>0</v>
      </c>
      <c r="H16" s="191" t="s">
        <v>420</v>
      </c>
      <c r="I16" s="193">
        <v>44911.625</v>
      </c>
    </row>
    <row r="17" spans="1:9" ht="15.75">
      <c r="A17" s="188"/>
      <c r="B17" s="190"/>
      <c r="C17" s="118" t="s">
        <v>414</v>
      </c>
      <c r="D17" s="119">
        <v>4</v>
      </c>
      <c r="E17" s="120">
        <v>0.48</v>
      </c>
      <c r="F17" s="121">
        <f>2.077+0.077+0.026+0.12+0.11573+0.075+0.028+0.04-0.053</f>
        <v>2.5057300000000002</v>
      </c>
      <c r="G17" s="122">
        <f t="shared" si="0"/>
        <v>1.0142699999999998</v>
      </c>
      <c r="H17" s="192"/>
      <c r="I17" s="194"/>
    </row>
    <row r="18" spans="1:9" ht="15.75" customHeight="1">
      <c r="A18" s="187" t="s">
        <v>6</v>
      </c>
      <c r="B18" s="189" t="s">
        <v>421</v>
      </c>
      <c r="C18" s="118" t="s">
        <v>409</v>
      </c>
      <c r="D18" s="119">
        <v>0</v>
      </c>
      <c r="E18" s="120">
        <v>0</v>
      </c>
      <c r="F18" s="121">
        <v>0</v>
      </c>
      <c r="G18" s="122">
        <f t="shared" si="0"/>
        <v>0</v>
      </c>
      <c r="H18" s="191" t="s">
        <v>420</v>
      </c>
      <c r="I18" s="193" t="s">
        <v>422</v>
      </c>
    </row>
    <row r="19" spans="1:9" ht="15.75">
      <c r="A19" s="188"/>
      <c r="B19" s="190"/>
      <c r="C19" s="118" t="s">
        <v>414</v>
      </c>
      <c r="D19" s="119">
        <v>4</v>
      </c>
      <c r="E19" s="120">
        <v>0</v>
      </c>
      <c r="F19" s="121">
        <v>0.66</v>
      </c>
      <c r="G19" s="122">
        <f t="shared" si="0"/>
        <v>3.34</v>
      </c>
      <c r="H19" s="192"/>
      <c r="I19" s="194"/>
    </row>
    <row r="20" spans="1:9" ht="15.75" customHeight="1">
      <c r="A20" s="187" t="s">
        <v>7</v>
      </c>
      <c r="B20" s="189" t="s">
        <v>423</v>
      </c>
      <c r="C20" s="118" t="s">
        <v>409</v>
      </c>
      <c r="D20" s="119">
        <v>0</v>
      </c>
      <c r="E20" s="120">
        <v>0</v>
      </c>
      <c r="F20" s="121">
        <v>0</v>
      </c>
      <c r="G20" s="122">
        <f t="shared" si="0"/>
        <v>0</v>
      </c>
      <c r="H20" s="191" t="s">
        <v>424</v>
      </c>
      <c r="I20" s="193">
        <v>44911.833333333336</v>
      </c>
    </row>
    <row r="21" spans="1:9" ht="15.75">
      <c r="A21" s="188"/>
      <c r="B21" s="190"/>
      <c r="C21" s="118" t="s">
        <v>414</v>
      </c>
      <c r="D21" s="119">
        <v>6.3</v>
      </c>
      <c r="E21" s="120">
        <v>1</v>
      </c>
      <c r="F21" s="121">
        <v>0.89</v>
      </c>
      <c r="G21" s="122">
        <f t="shared" si="0"/>
        <v>4.41</v>
      </c>
      <c r="H21" s="192"/>
      <c r="I21" s="194"/>
    </row>
    <row r="22" spans="1:9" ht="15.75" customHeight="1">
      <c r="A22" s="187" t="s">
        <v>8</v>
      </c>
      <c r="B22" s="189" t="s">
        <v>425</v>
      </c>
      <c r="C22" s="118" t="s">
        <v>409</v>
      </c>
      <c r="D22" s="119">
        <v>0</v>
      </c>
      <c r="E22" s="120">
        <v>0</v>
      </c>
      <c r="F22" s="121">
        <v>0</v>
      </c>
      <c r="G22" s="122">
        <f t="shared" si="0"/>
        <v>0</v>
      </c>
      <c r="H22" s="191" t="s">
        <v>426</v>
      </c>
      <c r="I22" s="193" t="s">
        <v>427</v>
      </c>
    </row>
    <row r="23" spans="1:9" ht="15.75">
      <c r="A23" s="188"/>
      <c r="B23" s="190"/>
      <c r="C23" s="118" t="s">
        <v>411</v>
      </c>
      <c r="D23" s="119">
        <v>6.3</v>
      </c>
      <c r="E23" s="120">
        <v>1.19</v>
      </c>
      <c r="F23" s="121">
        <f>4.115+0.12+0.15+0.006+0.025</f>
        <v>4.416000000000001</v>
      </c>
      <c r="G23" s="122">
        <f t="shared" si="0"/>
        <v>0.6939999999999982</v>
      </c>
      <c r="H23" s="192"/>
      <c r="I23" s="194"/>
    </row>
    <row r="24" spans="1:9" ht="15.75" customHeight="1">
      <c r="A24" s="187" t="s">
        <v>9</v>
      </c>
      <c r="B24" s="189" t="s">
        <v>428</v>
      </c>
      <c r="C24" s="118" t="s">
        <v>409</v>
      </c>
      <c r="D24" s="119">
        <v>0</v>
      </c>
      <c r="E24" s="120">
        <v>0</v>
      </c>
      <c r="F24" s="121">
        <v>0</v>
      </c>
      <c r="G24" s="122">
        <f t="shared" si="0"/>
        <v>0</v>
      </c>
      <c r="H24" s="191" t="s">
        <v>429</v>
      </c>
      <c r="I24" s="193">
        <v>44911.791666666664</v>
      </c>
    </row>
    <row r="25" spans="1:9" ht="15.75">
      <c r="A25" s="188"/>
      <c r="B25" s="190"/>
      <c r="C25" s="118" t="s">
        <v>414</v>
      </c>
      <c r="D25" s="119">
        <v>4</v>
      </c>
      <c r="E25" s="120">
        <v>0.29</v>
      </c>
      <c r="F25" s="121">
        <v>1.87</v>
      </c>
      <c r="G25" s="122">
        <f t="shared" si="0"/>
        <v>1.8399999999999999</v>
      </c>
      <c r="H25" s="192"/>
      <c r="I25" s="194"/>
    </row>
    <row r="26" spans="1:9" ht="15.75" customHeight="1">
      <c r="A26" s="187" t="s">
        <v>10</v>
      </c>
      <c r="B26" s="189" t="s">
        <v>430</v>
      </c>
      <c r="C26" s="118" t="s">
        <v>409</v>
      </c>
      <c r="D26" s="119">
        <v>0</v>
      </c>
      <c r="E26" s="120">
        <v>0</v>
      </c>
      <c r="F26" s="121">
        <v>0</v>
      </c>
      <c r="G26" s="122">
        <f t="shared" si="0"/>
        <v>0</v>
      </c>
      <c r="H26" s="191" t="s">
        <v>431</v>
      </c>
      <c r="I26" s="193">
        <v>44911.458333333336</v>
      </c>
    </row>
    <row r="27" spans="1:9" ht="15.75">
      <c r="A27" s="188"/>
      <c r="B27" s="190"/>
      <c r="C27" s="118" t="s">
        <v>414</v>
      </c>
      <c r="D27" s="119">
        <v>4</v>
      </c>
      <c r="E27" s="120">
        <v>0.47</v>
      </c>
      <c r="F27" s="121">
        <f>1.69+0.04</f>
        <v>1.73</v>
      </c>
      <c r="G27" s="122">
        <f t="shared" si="0"/>
        <v>1.8000000000000003</v>
      </c>
      <c r="H27" s="192"/>
      <c r="I27" s="194"/>
    </row>
    <row r="28" spans="1:9" ht="15.75" customHeight="1">
      <c r="A28" s="187" t="s">
        <v>11</v>
      </c>
      <c r="B28" s="189" t="s">
        <v>432</v>
      </c>
      <c r="C28" s="118" t="s">
        <v>409</v>
      </c>
      <c r="D28" s="119">
        <v>0</v>
      </c>
      <c r="E28" s="120">
        <v>0</v>
      </c>
      <c r="F28" s="121">
        <v>0</v>
      </c>
      <c r="G28" s="122">
        <f t="shared" si="0"/>
        <v>0</v>
      </c>
      <c r="H28" s="191" t="s">
        <v>429</v>
      </c>
      <c r="I28" s="193">
        <v>44911.541666666664</v>
      </c>
    </row>
    <row r="29" spans="1:9" ht="15.75">
      <c r="A29" s="188"/>
      <c r="B29" s="190"/>
      <c r="C29" s="118" t="s">
        <v>414</v>
      </c>
      <c r="D29" s="119">
        <v>4</v>
      </c>
      <c r="E29" s="120">
        <v>1.36</v>
      </c>
      <c r="F29" s="121">
        <f>8.675+0.028+0.0115+0.0077</f>
        <v>8.7222</v>
      </c>
      <c r="G29" s="122">
        <v>0</v>
      </c>
      <c r="H29" s="192"/>
      <c r="I29" s="194"/>
    </row>
    <row r="30" spans="1:9" ht="15.75" customHeight="1">
      <c r="A30" s="187" t="s">
        <v>12</v>
      </c>
      <c r="B30" s="189" t="s">
        <v>433</v>
      </c>
      <c r="C30" s="118" t="s">
        <v>409</v>
      </c>
      <c r="D30" s="119">
        <v>0</v>
      </c>
      <c r="E30" s="120">
        <v>0</v>
      </c>
      <c r="F30" s="121">
        <v>0</v>
      </c>
      <c r="G30" s="122">
        <f t="shared" si="0"/>
        <v>0</v>
      </c>
      <c r="H30" s="191" t="s">
        <v>434</v>
      </c>
      <c r="I30" s="193">
        <v>44911.625</v>
      </c>
    </row>
    <row r="31" spans="1:9" ht="15.75">
      <c r="A31" s="188"/>
      <c r="B31" s="190"/>
      <c r="C31" s="118" t="s">
        <v>414</v>
      </c>
      <c r="D31" s="119">
        <v>4</v>
      </c>
      <c r="E31" s="120">
        <v>0.61</v>
      </c>
      <c r="F31" s="121">
        <v>0.36</v>
      </c>
      <c r="G31" s="122">
        <f t="shared" si="0"/>
        <v>3.0300000000000002</v>
      </c>
      <c r="H31" s="192"/>
      <c r="I31" s="194"/>
    </row>
    <row r="32" spans="1:9" ht="15.75" customHeight="1">
      <c r="A32" s="187" t="s">
        <v>435</v>
      </c>
      <c r="B32" s="189" t="s">
        <v>436</v>
      </c>
      <c r="C32" s="118" t="s">
        <v>409</v>
      </c>
      <c r="D32" s="119">
        <v>0</v>
      </c>
      <c r="E32" s="120">
        <v>0</v>
      </c>
      <c r="F32" s="121">
        <v>0</v>
      </c>
      <c r="G32" s="122">
        <f t="shared" si="0"/>
        <v>0</v>
      </c>
      <c r="H32" s="191" t="s">
        <v>434</v>
      </c>
      <c r="I32" s="193">
        <v>44911.583333333336</v>
      </c>
    </row>
    <row r="33" spans="1:9" ht="15.75">
      <c r="A33" s="188"/>
      <c r="B33" s="190"/>
      <c r="C33" s="118" t="s">
        <v>411</v>
      </c>
      <c r="D33" s="119">
        <v>6.3</v>
      </c>
      <c r="E33" s="120">
        <v>1.04</v>
      </c>
      <c r="F33" s="121">
        <v>4</v>
      </c>
      <c r="G33" s="122">
        <f t="shared" si="0"/>
        <v>1.2599999999999998</v>
      </c>
      <c r="H33" s="192"/>
      <c r="I33" s="194"/>
    </row>
    <row r="34" spans="1:9" ht="15.75" customHeight="1">
      <c r="A34" s="187" t="s">
        <v>14</v>
      </c>
      <c r="B34" s="189" t="s">
        <v>437</v>
      </c>
      <c r="C34" s="118" t="s">
        <v>409</v>
      </c>
      <c r="D34" s="119">
        <v>0</v>
      </c>
      <c r="E34" s="120">
        <v>0</v>
      </c>
      <c r="F34" s="121">
        <v>0</v>
      </c>
      <c r="G34" s="122">
        <f t="shared" si="0"/>
        <v>0</v>
      </c>
      <c r="H34" s="191" t="s">
        <v>438</v>
      </c>
      <c r="I34" s="193">
        <v>44911.625</v>
      </c>
    </row>
    <row r="35" spans="1:9" ht="15.75">
      <c r="A35" s="188"/>
      <c r="B35" s="190"/>
      <c r="C35" s="118" t="s">
        <v>414</v>
      </c>
      <c r="D35" s="119">
        <v>6.3</v>
      </c>
      <c r="E35" s="120">
        <v>2.45</v>
      </c>
      <c r="F35" s="121">
        <v>8.95</v>
      </c>
      <c r="G35" s="122">
        <v>0</v>
      </c>
      <c r="H35" s="192"/>
      <c r="I35" s="194"/>
    </row>
  </sheetData>
  <sheetProtection/>
  <mergeCells count="7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H6:H7"/>
    <mergeCell ref="I6:I7"/>
    <mergeCell ref="A8:A9"/>
    <mergeCell ref="B8:B9"/>
    <mergeCell ref="H8:H9"/>
    <mergeCell ref="I8:I9"/>
    <mergeCell ref="A10:A11"/>
    <mergeCell ref="B10:B11"/>
    <mergeCell ref="H10:H11"/>
    <mergeCell ref="I10:I11"/>
    <mergeCell ref="A12:A13"/>
    <mergeCell ref="B12:B13"/>
    <mergeCell ref="H12:H13"/>
    <mergeCell ref="I12:I13"/>
    <mergeCell ref="A14:A15"/>
    <mergeCell ref="B14:B15"/>
    <mergeCell ref="H14:H15"/>
    <mergeCell ref="I14:I15"/>
    <mergeCell ref="A16:A17"/>
    <mergeCell ref="B16:B17"/>
    <mergeCell ref="H16:H17"/>
    <mergeCell ref="I16:I17"/>
    <mergeCell ref="A18:A19"/>
    <mergeCell ref="B18:B19"/>
    <mergeCell ref="H18:H19"/>
    <mergeCell ref="I18:I19"/>
    <mergeCell ref="A20:A21"/>
    <mergeCell ref="B20:B21"/>
    <mergeCell ref="H20:H21"/>
    <mergeCell ref="I20:I21"/>
    <mergeCell ref="A22:A23"/>
    <mergeCell ref="B22:B23"/>
    <mergeCell ref="H22:H23"/>
    <mergeCell ref="I22:I23"/>
    <mergeCell ref="A24:A25"/>
    <mergeCell ref="B24:B25"/>
    <mergeCell ref="H24:H25"/>
    <mergeCell ref="I24:I25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J13" sqref="J13"/>
    </sheetView>
  </sheetViews>
  <sheetFormatPr defaultColWidth="10.281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</cols>
  <sheetData>
    <row r="1" spans="1:5" ht="25.5" customHeight="1">
      <c r="A1" s="204" t="s">
        <v>439</v>
      </c>
      <c r="B1" s="204"/>
      <c r="C1" s="204"/>
      <c r="D1" s="204"/>
      <c r="E1" s="204"/>
    </row>
    <row r="2" spans="1:5" ht="12.75">
      <c r="A2" s="88"/>
      <c r="B2" s="89"/>
      <c r="C2" s="90"/>
      <c r="D2" s="90"/>
      <c r="E2" s="90"/>
    </row>
    <row r="3" spans="1:5" ht="12.75" customHeight="1">
      <c r="A3" s="205" t="s">
        <v>232</v>
      </c>
      <c r="B3" s="205" t="s">
        <v>233</v>
      </c>
      <c r="C3" s="206" t="s">
        <v>234</v>
      </c>
      <c r="D3" s="206" t="s">
        <v>235</v>
      </c>
      <c r="E3" s="206" t="s">
        <v>236</v>
      </c>
    </row>
    <row r="4" spans="1:5" ht="15" customHeight="1">
      <c r="A4" s="205"/>
      <c r="B4" s="205"/>
      <c r="C4" s="206"/>
      <c r="D4" s="206"/>
      <c r="E4" s="206"/>
    </row>
    <row r="5" spans="1:5" ht="12.75">
      <c r="A5" s="90" t="s">
        <v>237</v>
      </c>
      <c r="B5" s="106" t="s">
        <v>376</v>
      </c>
      <c r="C5" s="107">
        <v>-198.3</v>
      </c>
      <c r="D5" s="107">
        <f>-198.3-12</f>
        <v>-210.3</v>
      </c>
      <c r="E5" s="107">
        <f>-198.3-12</f>
        <v>-210.3</v>
      </c>
    </row>
    <row r="6" spans="1:5" ht="12.75">
      <c r="A6" s="90" t="s">
        <v>238</v>
      </c>
      <c r="B6" s="106" t="s">
        <v>376</v>
      </c>
      <c r="C6" s="107">
        <f>-287.9-80</f>
        <v>-367.9</v>
      </c>
      <c r="D6" s="107">
        <v>-287.9</v>
      </c>
      <c r="E6" s="107">
        <v>-287.9</v>
      </c>
    </row>
    <row r="7" spans="1:5" ht="12.75">
      <c r="A7" s="90" t="s">
        <v>239</v>
      </c>
      <c r="B7" s="106" t="s">
        <v>377</v>
      </c>
      <c r="C7" s="107">
        <v>295.2</v>
      </c>
      <c r="D7" s="108">
        <v>197.5</v>
      </c>
      <c r="E7" s="108">
        <f>197.5-10</f>
        <v>187.5</v>
      </c>
    </row>
    <row r="8" spans="1:5" ht="12.75">
      <c r="A8" s="90" t="s">
        <v>384</v>
      </c>
      <c r="B8" s="106" t="s">
        <v>376</v>
      </c>
      <c r="C8" s="107">
        <v>246.4</v>
      </c>
      <c r="D8" s="107">
        <v>226.4</v>
      </c>
      <c r="E8" s="107">
        <v>-77.2</v>
      </c>
    </row>
    <row r="9" spans="1:5" ht="12.75">
      <c r="A9" s="90" t="s">
        <v>240</v>
      </c>
      <c r="B9" s="106" t="s">
        <v>378</v>
      </c>
      <c r="C9" s="107">
        <v>653.7</v>
      </c>
      <c r="D9" s="107">
        <v>620.7</v>
      </c>
      <c r="E9" s="107">
        <v>620.7</v>
      </c>
    </row>
    <row r="10" spans="1:5" ht="12.75">
      <c r="A10" s="90" t="s">
        <v>241</v>
      </c>
      <c r="B10" s="106" t="s">
        <v>377</v>
      </c>
      <c r="C10" s="109">
        <f>194.1-15-74.5</f>
        <v>104.6</v>
      </c>
      <c r="D10" s="109">
        <f>194.1-15</f>
        <v>179.1</v>
      </c>
      <c r="E10" s="109">
        <f>194.1-15</f>
        <v>179.1</v>
      </c>
    </row>
    <row r="11" spans="1:5" ht="12.75">
      <c r="A11" s="90" t="s">
        <v>242</v>
      </c>
      <c r="B11" s="106" t="s">
        <v>379</v>
      </c>
      <c r="C11" s="109">
        <v>181.7</v>
      </c>
      <c r="D11" s="109">
        <f>120.2-135</f>
        <v>-14.799999999999997</v>
      </c>
      <c r="E11" s="109">
        <f>120.2-135</f>
        <v>-14.799999999999997</v>
      </c>
    </row>
    <row r="12" spans="1:5" ht="12.75">
      <c r="A12" s="90" t="s">
        <v>243</v>
      </c>
      <c r="B12" s="106" t="s">
        <v>377</v>
      </c>
      <c r="C12" s="109">
        <v>114.7</v>
      </c>
      <c r="D12" s="109">
        <v>114.7</v>
      </c>
      <c r="E12" s="109">
        <v>114.7</v>
      </c>
    </row>
    <row r="13" spans="1:5" ht="12.75">
      <c r="A13" s="90" t="s">
        <v>244</v>
      </c>
      <c r="B13" s="106" t="s">
        <v>376</v>
      </c>
      <c r="C13" s="109">
        <v>236.1</v>
      </c>
      <c r="D13" s="109">
        <v>236.1</v>
      </c>
      <c r="E13" s="109">
        <v>236.1</v>
      </c>
    </row>
    <row r="14" spans="1:5" ht="12.75">
      <c r="A14" s="90" t="s">
        <v>245</v>
      </c>
      <c r="B14" s="106" t="s">
        <v>377</v>
      </c>
      <c r="C14" s="90">
        <v>203.5</v>
      </c>
      <c r="D14" s="90">
        <f>203.5-13.4</f>
        <v>190.1</v>
      </c>
      <c r="E14" s="90">
        <f>266.5-13.4</f>
        <v>253.1</v>
      </c>
    </row>
    <row r="15" spans="1:5" ht="12.75">
      <c r="A15" s="90" t="s">
        <v>246</v>
      </c>
      <c r="B15" s="106" t="s">
        <v>377</v>
      </c>
      <c r="C15" s="90">
        <f>-0.2-20</f>
        <v>-20.2</v>
      </c>
      <c r="D15" s="90">
        <f>-35.2-20</f>
        <v>-55.2</v>
      </c>
      <c r="E15" s="90">
        <f>-35.2-20</f>
        <v>-55.2</v>
      </c>
    </row>
    <row r="16" spans="1:5" ht="12.75">
      <c r="A16" s="90" t="s">
        <v>247</v>
      </c>
      <c r="B16" s="106" t="s">
        <v>377</v>
      </c>
      <c r="C16" s="90">
        <f>192.1-16</f>
        <v>176.1</v>
      </c>
      <c r="D16" s="90">
        <f>192.1-6-16</f>
        <v>170.1</v>
      </c>
      <c r="E16" s="90">
        <f>192.1-6-16</f>
        <v>170.1</v>
      </c>
    </row>
    <row r="17" spans="1:5" ht="12.75">
      <c r="A17" s="90" t="s">
        <v>248</v>
      </c>
      <c r="B17" s="106" t="s">
        <v>377</v>
      </c>
      <c r="C17" s="90">
        <v>-161.5</v>
      </c>
      <c r="D17" s="90">
        <v>-161.5</v>
      </c>
      <c r="E17" s="90">
        <v>-161.5</v>
      </c>
    </row>
    <row r="18" spans="1:5" ht="12.75">
      <c r="A18" s="90" t="s">
        <v>249</v>
      </c>
      <c r="B18" s="106" t="s">
        <v>376</v>
      </c>
      <c r="C18" s="90">
        <v>-95.2</v>
      </c>
      <c r="D18" s="90">
        <v>-95.2</v>
      </c>
      <c r="E18" s="90">
        <v>-95.2</v>
      </c>
    </row>
    <row r="19" spans="1:5" ht="12.75">
      <c r="A19" s="90" t="s">
        <v>250</v>
      </c>
      <c r="B19" s="106" t="s">
        <v>376</v>
      </c>
      <c r="C19" s="90">
        <f>-291.2-6.4</f>
        <v>-297.59999999999997</v>
      </c>
      <c r="D19" s="90">
        <f>-297.6-6.4</f>
        <v>-304</v>
      </c>
      <c r="E19" s="90">
        <f>-297.6-6.4</f>
        <v>-304</v>
      </c>
    </row>
    <row r="20" spans="1:5" ht="12.75">
      <c r="A20" s="90" t="s">
        <v>251</v>
      </c>
      <c r="B20" s="106" t="s">
        <v>377</v>
      </c>
      <c r="C20" s="90">
        <v>122.1</v>
      </c>
      <c r="D20" s="90">
        <v>122.1</v>
      </c>
      <c r="E20" s="90">
        <v>122.1</v>
      </c>
    </row>
    <row r="21" spans="1:5" ht="12.75">
      <c r="A21" s="90" t="s">
        <v>252</v>
      </c>
      <c r="B21" s="106" t="s">
        <v>377</v>
      </c>
      <c r="C21" s="90">
        <v>-246</v>
      </c>
      <c r="D21" s="90">
        <v>-246</v>
      </c>
      <c r="E21" s="90">
        <f>-246-2</f>
        <v>-248</v>
      </c>
    </row>
    <row r="22" spans="1:5" ht="12.75">
      <c r="A22" s="90" t="s">
        <v>253</v>
      </c>
      <c r="B22" s="106" t="s">
        <v>377</v>
      </c>
      <c r="C22" s="90">
        <v>121.1</v>
      </c>
      <c r="D22" s="90">
        <v>133.1</v>
      </c>
      <c r="E22" s="90">
        <v>133.1</v>
      </c>
    </row>
    <row r="23" spans="1:5" ht="12.75">
      <c r="A23" s="90" t="s">
        <v>254</v>
      </c>
      <c r="B23" s="106" t="s">
        <v>377</v>
      </c>
      <c r="C23" s="90">
        <f>-40.8-2-10</f>
        <v>-52.8</v>
      </c>
      <c r="D23" s="90">
        <f>-48.3-10</f>
        <v>-58.3</v>
      </c>
      <c r="E23" s="90">
        <f>-57.3-12</f>
        <v>-69.3</v>
      </c>
    </row>
    <row r="24" spans="1:5" ht="12.75">
      <c r="A24" s="90" t="s">
        <v>255</v>
      </c>
      <c r="B24" s="106" t="s">
        <v>377</v>
      </c>
      <c r="C24" s="90">
        <f>221.7-20</f>
        <v>201.7</v>
      </c>
      <c r="D24" s="90">
        <f>221.7-20-40</f>
        <v>161.7</v>
      </c>
      <c r="E24" s="90">
        <f>221.7-20</f>
        <v>201.7</v>
      </c>
    </row>
    <row r="25" spans="1:5" ht="12.75">
      <c r="A25" s="90" t="s">
        <v>256</v>
      </c>
      <c r="B25" s="106" t="s">
        <v>377</v>
      </c>
      <c r="C25" s="90">
        <v>22.3</v>
      </c>
      <c r="D25" s="90">
        <v>22.3</v>
      </c>
      <c r="E25" s="90">
        <v>22.3</v>
      </c>
    </row>
    <row r="26" spans="1:5" ht="12.75">
      <c r="A26" s="90" t="s">
        <v>257</v>
      </c>
      <c r="B26" s="106" t="s">
        <v>377</v>
      </c>
      <c r="C26" s="90">
        <v>453.3</v>
      </c>
      <c r="D26" s="90">
        <v>453.3</v>
      </c>
      <c r="E26" s="90">
        <v>453.3</v>
      </c>
    </row>
    <row r="27" spans="1:5" ht="12.75">
      <c r="A27" s="90" t="s">
        <v>258</v>
      </c>
      <c r="B27" s="106" t="s">
        <v>376</v>
      </c>
      <c r="C27" s="90">
        <f>92.9-7-15</f>
        <v>70.9</v>
      </c>
      <c r="D27" s="90">
        <f>85.9-7-15</f>
        <v>63.900000000000006</v>
      </c>
      <c r="E27" s="90">
        <f>85.9-7-15</f>
        <v>63.900000000000006</v>
      </c>
    </row>
    <row r="28" spans="1:5" ht="12.75">
      <c r="A28" s="90" t="s">
        <v>259</v>
      </c>
      <c r="B28" s="106" t="s">
        <v>377</v>
      </c>
      <c r="C28" s="90">
        <f>-169.2-15</f>
        <v>-184.2</v>
      </c>
      <c r="D28" s="90">
        <f>-159.5-15</f>
        <v>-174.5</v>
      </c>
      <c r="E28" s="90">
        <f>-159.5-15</f>
        <v>-174.5</v>
      </c>
    </row>
    <row r="29" spans="1:5" ht="12.75">
      <c r="A29" s="90" t="s">
        <v>260</v>
      </c>
      <c r="B29" s="106" t="s">
        <v>377</v>
      </c>
      <c r="C29" s="90">
        <v>193.85</v>
      </c>
      <c r="D29" s="90">
        <v>123.85</v>
      </c>
      <c r="E29" s="90">
        <v>123.85</v>
      </c>
    </row>
    <row r="30" spans="1:5" ht="12.75">
      <c r="A30" s="90" t="s">
        <v>261</v>
      </c>
      <c r="B30" s="106" t="s">
        <v>376</v>
      </c>
      <c r="C30" s="90">
        <v>643.5</v>
      </c>
      <c r="D30" s="90">
        <v>643.5</v>
      </c>
      <c r="E30" s="90">
        <v>643.5</v>
      </c>
    </row>
    <row r="31" spans="1:5" ht="12.75">
      <c r="A31" s="90" t="s">
        <v>262</v>
      </c>
      <c r="B31" s="106" t="s">
        <v>377</v>
      </c>
      <c r="C31" s="90">
        <f>516-3</f>
        <v>513</v>
      </c>
      <c r="D31" s="90">
        <f>516-3</f>
        <v>513</v>
      </c>
      <c r="E31" s="90">
        <f>514-3</f>
        <v>511</v>
      </c>
    </row>
    <row r="32" spans="1:5" ht="12.75">
      <c r="A32" s="90" t="s">
        <v>263</v>
      </c>
      <c r="B32" s="106" t="s">
        <v>380</v>
      </c>
      <c r="C32" s="90">
        <v>-31.8</v>
      </c>
      <c r="D32" s="90">
        <v>-46.8</v>
      </c>
      <c r="E32" s="90">
        <v>-89.55</v>
      </c>
    </row>
    <row r="33" spans="1:5" ht="12.75">
      <c r="A33" s="90" t="s">
        <v>385</v>
      </c>
      <c r="B33" s="106" t="s">
        <v>386</v>
      </c>
      <c r="C33" s="90">
        <v>589</v>
      </c>
      <c r="D33" s="90">
        <v>589</v>
      </c>
      <c r="E33" s="90">
        <v>589</v>
      </c>
    </row>
    <row r="34" spans="1:5" ht="12.75">
      <c r="A34" s="90" t="s">
        <v>264</v>
      </c>
      <c r="B34" s="106" t="s">
        <v>378</v>
      </c>
      <c r="C34" s="90">
        <f>-9.76-15-5.04</f>
        <v>-29.799999999999997</v>
      </c>
      <c r="D34" s="90">
        <f>-194.76-15-5.04</f>
        <v>-214.79999999999998</v>
      </c>
      <c r="E34" s="90">
        <f>-194.76-15-5.04</f>
        <v>-214.79999999999998</v>
      </c>
    </row>
    <row r="35" spans="1:5" ht="12.75">
      <c r="A35" s="90" t="s">
        <v>265</v>
      </c>
      <c r="B35" s="106">
        <v>160</v>
      </c>
      <c r="C35" s="90">
        <v>99</v>
      </c>
      <c r="D35" s="90">
        <v>99</v>
      </c>
      <c r="E35" s="90">
        <v>99</v>
      </c>
    </row>
    <row r="36" spans="1:5" ht="12.75">
      <c r="A36" s="90" t="s">
        <v>266</v>
      </c>
      <c r="B36" s="106">
        <v>250</v>
      </c>
      <c r="C36" s="90">
        <v>51.7</v>
      </c>
      <c r="D36" s="90">
        <v>-1.3</v>
      </c>
      <c r="E36" s="90">
        <v>-1.3</v>
      </c>
    </row>
    <row r="37" spans="1:5" ht="12.75">
      <c r="A37" s="90" t="s">
        <v>267</v>
      </c>
      <c r="B37" s="106" t="s">
        <v>376</v>
      </c>
      <c r="C37" s="90">
        <v>5.2</v>
      </c>
      <c r="D37" s="90">
        <v>-69.8</v>
      </c>
      <c r="E37" s="90">
        <v>-69.8</v>
      </c>
    </row>
    <row r="38" spans="1:5" ht="12.75">
      <c r="A38" s="90" t="s">
        <v>268</v>
      </c>
      <c r="B38" s="106" t="s">
        <v>376</v>
      </c>
      <c r="C38" s="90">
        <v>-107.9</v>
      </c>
      <c r="D38" s="90">
        <v>-107.9</v>
      </c>
      <c r="E38" s="90">
        <v>-107.9</v>
      </c>
    </row>
    <row r="39" spans="1:5" ht="12.75">
      <c r="A39" s="90" t="s">
        <v>269</v>
      </c>
      <c r="B39" s="106" t="s">
        <v>376</v>
      </c>
      <c r="C39" s="90">
        <v>-227.7</v>
      </c>
      <c r="D39" s="90">
        <v>-244.7</v>
      </c>
      <c r="E39" s="90">
        <v>-244.7</v>
      </c>
    </row>
    <row r="40" spans="1:5" ht="12.75">
      <c r="A40" s="90" t="s">
        <v>270</v>
      </c>
      <c r="B40" s="106" t="s">
        <v>377</v>
      </c>
      <c r="C40" s="90">
        <v>239.8</v>
      </c>
      <c r="D40" s="90">
        <v>239.8</v>
      </c>
      <c r="E40" s="90">
        <v>239.8</v>
      </c>
    </row>
    <row r="41" spans="1:5" ht="12.75">
      <c r="A41" s="90" t="s">
        <v>271</v>
      </c>
      <c r="B41" s="106" t="s">
        <v>376</v>
      </c>
      <c r="C41" s="90">
        <f>-24.58-2</f>
        <v>-26.58</v>
      </c>
      <c r="D41" s="90">
        <v>-70.58</v>
      </c>
      <c r="E41" s="90">
        <v>-70.58</v>
      </c>
    </row>
    <row r="42" spans="1:5" ht="12.75">
      <c r="A42" s="90" t="s">
        <v>272</v>
      </c>
      <c r="B42" s="106" t="s">
        <v>377</v>
      </c>
      <c r="C42" s="90">
        <v>787.2</v>
      </c>
      <c r="D42" s="90">
        <v>787.2</v>
      </c>
      <c r="E42" s="90">
        <v>787.2</v>
      </c>
    </row>
    <row r="43" spans="1:5" ht="12.75">
      <c r="A43" s="90" t="s">
        <v>273</v>
      </c>
      <c r="B43" s="106" t="s">
        <v>376</v>
      </c>
      <c r="C43" s="90">
        <v>560</v>
      </c>
      <c r="D43" s="90">
        <v>560</v>
      </c>
      <c r="E43" s="90">
        <v>560</v>
      </c>
    </row>
    <row r="44" spans="1:5" ht="12.75">
      <c r="A44" s="90" t="s">
        <v>274</v>
      </c>
      <c r="B44" s="106" t="s">
        <v>376</v>
      </c>
      <c r="C44" s="109">
        <v>-67.5</v>
      </c>
      <c r="D44" s="90">
        <v>-83.7</v>
      </c>
      <c r="E44" s="90">
        <v>-83.7</v>
      </c>
    </row>
    <row r="45" spans="1:5" ht="12.75">
      <c r="A45" s="90" t="s">
        <v>275</v>
      </c>
      <c r="B45" s="106" t="s">
        <v>376</v>
      </c>
      <c r="C45" s="90">
        <v>1132</v>
      </c>
      <c r="D45" s="90">
        <v>1132</v>
      </c>
      <c r="E45" s="90">
        <v>1130.8</v>
      </c>
    </row>
    <row r="46" spans="1:5" ht="12.75">
      <c r="A46" s="90" t="s">
        <v>276</v>
      </c>
      <c r="B46" s="106">
        <v>400</v>
      </c>
      <c r="C46" s="90">
        <f>-143.5-2</f>
        <v>-145.5</v>
      </c>
      <c r="D46" s="90">
        <f>-288.5-2</f>
        <v>-290.5</v>
      </c>
      <c r="E46" s="90">
        <v>-288.5</v>
      </c>
    </row>
    <row r="47" spans="1:5" ht="12.75">
      <c r="A47" s="90" t="s">
        <v>277</v>
      </c>
      <c r="B47" s="106">
        <v>400</v>
      </c>
      <c r="C47" s="90">
        <f>-55-5</f>
        <v>-60</v>
      </c>
      <c r="D47" s="90">
        <f>-170-5</f>
        <v>-175</v>
      </c>
      <c r="E47" s="90">
        <v>-170</v>
      </c>
    </row>
    <row r="48" spans="1:5" ht="12.75">
      <c r="A48" s="90" t="s">
        <v>278</v>
      </c>
      <c r="B48" s="106">
        <v>63</v>
      </c>
      <c r="C48" s="90">
        <v>234</v>
      </c>
      <c r="D48" s="90">
        <v>234</v>
      </c>
      <c r="E48" s="90">
        <v>234</v>
      </c>
    </row>
    <row r="49" spans="1:5" ht="12.75">
      <c r="A49" s="90" t="s">
        <v>279</v>
      </c>
      <c r="B49" s="106">
        <v>160</v>
      </c>
      <c r="C49" s="90">
        <v>-101</v>
      </c>
      <c r="D49" s="90">
        <v>-101</v>
      </c>
      <c r="E49" s="90">
        <v>-101</v>
      </c>
    </row>
    <row r="50" spans="1:5" ht="12.75">
      <c r="A50" s="90" t="s">
        <v>280</v>
      </c>
      <c r="B50" s="106">
        <v>630</v>
      </c>
      <c r="C50" s="90">
        <v>-869.4</v>
      </c>
      <c r="D50" s="90">
        <f>-913.9-5-15</f>
        <v>-933.9</v>
      </c>
      <c r="E50" s="90">
        <f>-913.9-5-15</f>
        <v>-933.9</v>
      </c>
    </row>
    <row r="51" spans="1:5" ht="12.75">
      <c r="A51" s="90" t="s">
        <v>281</v>
      </c>
      <c r="B51" s="106">
        <v>250</v>
      </c>
      <c r="C51" s="90">
        <v>127</v>
      </c>
      <c r="D51" s="90">
        <v>-23</v>
      </c>
      <c r="E51" s="90">
        <v>-83</v>
      </c>
    </row>
    <row r="52" spans="1:5" ht="12.75">
      <c r="A52" s="90" t="s">
        <v>282</v>
      </c>
      <c r="B52" s="106">
        <v>400</v>
      </c>
      <c r="C52" s="110">
        <v>160</v>
      </c>
      <c r="D52" s="110">
        <v>160</v>
      </c>
      <c r="E52" s="110">
        <v>160</v>
      </c>
    </row>
    <row r="53" spans="1:5" ht="12.75">
      <c r="A53" s="90" t="s">
        <v>283</v>
      </c>
      <c r="B53" s="106">
        <v>250</v>
      </c>
      <c r="C53" s="110">
        <v>62</v>
      </c>
      <c r="D53" s="110">
        <v>62</v>
      </c>
      <c r="E53" s="110">
        <v>62</v>
      </c>
    </row>
    <row r="54" spans="1:5" ht="12.75">
      <c r="A54" s="90" t="s">
        <v>284</v>
      </c>
      <c r="B54" s="106">
        <v>250</v>
      </c>
      <c r="C54" s="110">
        <v>-118.5</v>
      </c>
      <c r="D54" s="110">
        <v>-118.5</v>
      </c>
      <c r="E54" s="110">
        <v>-118.5</v>
      </c>
    </row>
    <row r="55" spans="1:5" ht="12.75">
      <c r="A55" s="90" t="s">
        <v>285</v>
      </c>
      <c r="B55" s="106">
        <v>250</v>
      </c>
      <c r="C55" s="110">
        <v>152</v>
      </c>
      <c r="D55" s="110">
        <v>152</v>
      </c>
      <c r="E55" s="110">
        <v>152</v>
      </c>
    </row>
    <row r="56" spans="1:5" ht="12.75">
      <c r="A56" s="90" t="s">
        <v>286</v>
      </c>
      <c r="B56" s="106">
        <v>250</v>
      </c>
      <c r="C56" s="110">
        <v>142</v>
      </c>
      <c r="D56" s="110">
        <v>142</v>
      </c>
      <c r="E56" s="110">
        <v>142</v>
      </c>
    </row>
    <row r="57" spans="1:5" ht="12.75">
      <c r="A57" s="90" t="s">
        <v>287</v>
      </c>
      <c r="B57" s="106" t="s">
        <v>376</v>
      </c>
      <c r="C57" s="110">
        <v>550</v>
      </c>
      <c r="D57" s="110">
        <v>550</v>
      </c>
      <c r="E57" s="110">
        <v>550</v>
      </c>
    </row>
    <row r="58" spans="1:5" ht="12.75">
      <c r="A58" s="90" t="s">
        <v>288</v>
      </c>
      <c r="B58" s="106">
        <v>400</v>
      </c>
      <c r="C58" s="110">
        <v>60</v>
      </c>
      <c r="D58" s="110">
        <v>60</v>
      </c>
      <c r="E58" s="110">
        <v>60</v>
      </c>
    </row>
    <row r="59" spans="1:5" ht="12.75">
      <c r="A59" s="90" t="s">
        <v>289</v>
      </c>
      <c r="B59" s="106" t="s">
        <v>376</v>
      </c>
      <c r="C59" s="110">
        <v>670</v>
      </c>
      <c r="D59" s="110">
        <v>670</v>
      </c>
      <c r="E59" s="110">
        <v>670</v>
      </c>
    </row>
    <row r="60" spans="1:5" ht="12.75">
      <c r="A60" s="90" t="s">
        <v>290</v>
      </c>
      <c r="B60" s="106" t="s">
        <v>376</v>
      </c>
      <c r="C60" s="110">
        <v>620</v>
      </c>
      <c r="D60" s="110">
        <v>620</v>
      </c>
      <c r="E60" s="110">
        <v>620</v>
      </c>
    </row>
    <row r="61" spans="1:5" ht="12.75">
      <c r="A61" s="90" t="s">
        <v>387</v>
      </c>
      <c r="B61" s="106" t="s">
        <v>388</v>
      </c>
      <c r="C61" s="110">
        <v>0</v>
      </c>
      <c r="D61" s="110">
        <v>0</v>
      </c>
      <c r="E61" s="110">
        <v>0</v>
      </c>
    </row>
    <row r="62" spans="1:5" ht="12.75">
      <c r="A62" s="90" t="s">
        <v>291</v>
      </c>
      <c r="B62" s="106">
        <v>250</v>
      </c>
      <c r="C62" s="90">
        <v>39</v>
      </c>
      <c r="D62" s="90">
        <v>39</v>
      </c>
      <c r="E62" s="90">
        <v>39</v>
      </c>
    </row>
    <row r="63" spans="1:5" ht="12.75">
      <c r="A63" s="90" t="s">
        <v>292</v>
      </c>
      <c r="B63" s="106" t="s">
        <v>376</v>
      </c>
      <c r="C63" s="90">
        <v>382.32</v>
      </c>
      <c r="D63" s="90">
        <v>382.32</v>
      </c>
      <c r="E63" s="90">
        <v>382.32</v>
      </c>
    </row>
    <row r="64" spans="1:5" ht="12.75">
      <c r="A64" s="90" t="s">
        <v>293</v>
      </c>
      <c r="B64" s="106" t="s">
        <v>376</v>
      </c>
      <c r="C64" s="90">
        <v>640</v>
      </c>
      <c r="D64" s="90">
        <f>675-60</f>
        <v>615</v>
      </c>
      <c r="E64" s="90">
        <f>675-60</f>
        <v>615</v>
      </c>
    </row>
    <row r="65" spans="1:5" ht="12.75">
      <c r="A65" s="90" t="s">
        <v>389</v>
      </c>
      <c r="B65" s="106" t="s">
        <v>379</v>
      </c>
      <c r="C65" s="90">
        <f>-5-50</f>
        <v>-55</v>
      </c>
      <c r="D65" s="90">
        <v>-15</v>
      </c>
      <c r="E65" s="90">
        <v>-15</v>
      </c>
    </row>
    <row r="66" spans="1:5" ht="12.75">
      <c r="A66" s="90" t="s">
        <v>294</v>
      </c>
      <c r="B66" s="106" t="s">
        <v>379</v>
      </c>
      <c r="C66" s="90">
        <v>274</v>
      </c>
      <c r="D66" s="90">
        <v>274</v>
      </c>
      <c r="E66" s="90">
        <v>274</v>
      </c>
    </row>
    <row r="67" spans="1:5" ht="12.75">
      <c r="A67" s="90" t="s">
        <v>390</v>
      </c>
      <c r="B67" s="106" t="s">
        <v>379</v>
      </c>
      <c r="C67" s="90">
        <v>-198</v>
      </c>
      <c r="D67" s="90">
        <f>-198-200</f>
        <v>-398</v>
      </c>
      <c r="E67" s="90">
        <f>-198-200</f>
        <v>-398</v>
      </c>
    </row>
    <row r="68" spans="1:5" ht="12.75">
      <c r="A68" s="90" t="s">
        <v>295</v>
      </c>
      <c r="B68" s="106" t="s">
        <v>379</v>
      </c>
      <c r="C68" s="90">
        <v>368</v>
      </c>
      <c r="D68" s="90">
        <f>383-15</f>
        <v>368</v>
      </c>
      <c r="E68" s="90">
        <f>383-15</f>
        <v>368</v>
      </c>
    </row>
    <row r="69" spans="1:5" ht="12.75">
      <c r="A69" s="90" t="s">
        <v>296</v>
      </c>
      <c r="B69" s="106">
        <v>400</v>
      </c>
      <c r="C69" s="90">
        <f>-45.5-50</f>
        <v>-95.5</v>
      </c>
      <c r="D69" s="90">
        <f>-49.5-50</f>
        <v>-99.5</v>
      </c>
      <c r="E69" s="90">
        <f>-61.5-50</f>
        <v>-111.5</v>
      </c>
    </row>
    <row r="70" spans="1:5" ht="12.75">
      <c r="A70" s="90" t="s">
        <v>297</v>
      </c>
      <c r="B70" s="106">
        <v>400</v>
      </c>
      <c r="C70" s="90">
        <f>-8-50</f>
        <v>-58</v>
      </c>
      <c r="D70" s="90">
        <f>-8-50</f>
        <v>-58</v>
      </c>
      <c r="E70" s="90">
        <f>-8-50</f>
        <v>-58</v>
      </c>
    </row>
    <row r="71" spans="1:5" ht="12.75">
      <c r="A71" s="90" t="s">
        <v>298</v>
      </c>
      <c r="B71" s="106">
        <v>250</v>
      </c>
      <c r="C71" s="90">
        <f>0-40</f>
        <v>-40</v>
      </c>
      <c r="D71" s="90">
        <v>-40</v>
      </c>
      <c r="E71" s="90">
        <v>-40</v>
      </c>
    </row>
    <row r="72" spans="1:5" ht="12.75">
      <c r="A72" s="90" t="s">
        <v>299</v>
      </c>
      <c r="B72" s="106">
        <v>160</v>
      </c>
      <c r="C72" s="90">
        <f>33-21-15-6</f>
        <v>-9</v>
      </c>
      <c r="D72" s="90">
        <f>27-15-6</f>
        <v>6</v>
      </c>
      <c r="E72" s="90">
        <f>27-6</f>
        <v>21</v>
      </c>
    </row>
    <row r="73" spans="1:5" ht="12.75">
      <c r="A73" s="90" t="s">
        <v>300</v>
      </c>
      <c r="B73" s="106">
        <v>250</v>
      </c>
      <c r="C73" s="90">
        <f>-459.5-10</f>
        <v>-469.5</v>
      </c>
      <c r="D73" s="90">
        <f>-419.5-10</f>
        <v>-429.5</v>
      </c>
      <c r="E73" s="90">
        <v>-419.5</v>
      </c>
    </row>
    <row r="74" spans="1:5" ht="12.75">
      <c r="A74" s="90" t="s">
        <v>301</v>
      </c>
      <c r="B74" s="106">
        <v>250</v>
      </c>
      <c r="C74" s="90">
        <f>-153.9-8-5-8-5</f>
        <v>-179.9</v>
      </c>
      <c r="D74" s="90">
        <f>-105.8-8-5-5</f>
        <v>-123.8</v>
      </c>
      <c r="E74" s="90">
        <f>-118.8-8-5-5</f>
        <v>-136.8</v>
      </c>
    </row>
    <row r="75" spans="1:5" ht="12.75">
      <c r="A75" s="90" t="s">
        <v>302</v>
      </c>
      <c r="B75" s="106" t="s">
        <v>376</v>
      </c>
      <c r="C75" s="90">
        <f>249.5-100-18-5</f>
        <v>126.5</v>
      </c>
      <c r="D75" s="90">
        <f>234.5-108</f>
        <v>126.5</v>
      </c>
      <c r="E75" s="90">
        <f>234.5-108</f>
        <v>126.5</v>
      </c>
    </row>
    <row r="76" spans="1:5" ht="12.75">
      <c r="A76" s="90" t="s">
        <v>303</v>
      </c>
      <c r="B76" s="106">
        <v>250</v>
      </c>
      <c r="C76" s="90">
        <f>92-5-10-4-5</f>
        <v>68</v>
      </c>
      <c r="D76" s="90">
        <f>74-15-5-9</f>
        <v>45</v>
      </c>
      <c r="E76" s="90">
        <f>74-15-9-9</f>
        <v>41</v>
      </c>
    </row>
    <row r="77" spans="1:5" ht="12.75">
      <c r="A77" s="90" t="s">
        <v>304</v>
      </c>
      <c r="B77" s="106" t="s">
        <v>379</v>
      </c>
      <c r="C77" s="90">
        <v>-176</v>
      </c>
      <c r="D77" s="90">
        <v>-176</v>
      </c>
      <c r="E77" s="90">
        <v>-176</v>
      </c>
    </row>
    <row r="78" spans="1:5" ht="12.75">
      <c r="A78" s="90" t="s">
        <v>305</v>
      </c>
      <c r="B78" s="106">
        <v>630</v>
      </c>
      <c r="C78" s="90">
        <v>-168</v>
      </c>
      <c r="D78" s="90">
        <v>-168</v>
      </c>
      <c r="E78" s="90">
        <v>-168</v>
      </c>
    </row>
    <row r="79" spans="1:5" ht="12.75">
      <c r="A79" s="90" t="s">
        <v>306</v>
      </c>
      <c r="B79" s="106" t="s">
        <v>376</v>
      </c>
      <c r="C79" s="90">
        <v>380</v>
      </c>
      <c r="D79" s="90">
        <v>380</v>
      </c>
      <c r="E79" s="90">
        <v>380</v>
      </c>
    </row>
    <row r="80" spans="1:5" ht="12.75">
      <c r="A80" s="90" t="s">
        <v>391</v>
      </c>
      <c r="B80" s="106" t="s">
        <v>377</v>
      </c>
      <c r="C80" s="90">
        <v>1028</v>
      </c>
      <c r="D80" s="90">
        <v>1028</v>
      </c>
      <c r="E80" s="90">
        <v>1028</v>
      </c>
    </row>
    <row r="81" spans="1:5" ht="12.75">
      <c r="A81" s="90" t="s">
        <v>307</v>
      </c>
      <c r="B81" s="106" t="s">
        <v>377</v>
      </c>
      <c r="C81" s="90">
        <v>838</v>
      </c>
      <c r="D81" s="90">
        <v>838</v>
      </c>
      <c r="E81" s="90">
        <v>838</v>
      </c>
    </row>
    <row r="82" spans="1:5" ht="12.75">
      <c r="A82" s="90" t="s">
        <v>308</v>
      </c>
      <c r="B82" s="106">
        <v>400</v>
      </c>
      <c r="C82" s="90">
        <f>-354.7-41-14-3</f>
        <v>-412.7</v>
      </c>
      <c r="D82" s="90">
        <f>-413.2-49-10-3</f>
        <v>-475.2</v>
      </c>
      <c r="E82" s="90">
        <f>-433.2-49-10</f>
        <v>-492.2</v>
      </c>
    </row>
    <row r="83" spans="1:5" ht="12.75">
      <c r="A83" s="90" t="s">
        <v>392</v>
      </c>
      <c r="B83" s="106">
        <v>400</v>
      </c>
      <c r="C83" s="90">
        <f>-1.5-15-8</f>
        <v>-24.5</v>
      </c>
      <c r="D83" s="90">
        <f>-1.5-15-18</f>
        <v>-34.5</v>
      </c>
      <c r="E83" s="90">
        <f>-1.5-15-25</f>
        <v>-41.5</v>
      </c>
    </row>
    <row r="84" spans="1:5" ht="12.75">
      <c r="A84" s="90" t="s">
        <v>393</v>
      </c>
      <c r="B84" s="106">
        <v>400</v>
      </c>
      <c r="C84" s="90">
        <f>-329-5-13</f>
        <v>-347</v>
      </c>
      <c r="D84" s="90">
        <f>-354-15-28</f>
        <v>-397</v>
      </c>
      <c r="E84" s="90">
        <f>-354-15-28</f>
        <v>-397</v>
      </c>
    </row>
    <row r="85" spans="1:5" ht="12.75">
      <c r="A85" s="90" t="s">
        <v>309</v>
      </c>
      <c r="B85" s="106" t="s">
        <v>379</v>
      </c>
      <c r="C85" s="90">
        <v>-176.5</v>
      </c>
      <c r="D85" s="90">
        <v>-176.5</v>
      </c>
      <c r="E85" s="90">
        <v>-176.5</v>
      </c>
    </row>
    <row r="86" spans="1:5" ht="12.75">
      <c r="A86" s="90" t="s">
        <v>310</v>
      </c>
      <c r="B86" s="106">
        <v>400</v>
      </c>
      <c r="C86" s="90">
        <v>250</v>
      </c>
      <c r="D86" s="90">
        <v>250</v>
      </c>
      <c r="E86" s="90">
        <v>250</v>
      </c>
    </row>
    <row r="87" spans="1:5" ht="12.75">
      <c r="A87" s="90" t="s">
        <v>311</v>
      </c>
      <c r="B87" s="106">
        <v>400</v>
      </c>
      <c r="C87" s="90">
        <f>-92-5</f>
        <v>-97</v>
      </c>
      <c r="D87" s="90">
        <f>-178-48-5</f>
        <v>-231</v>
      </c>
      <c r="E87" s="90">
        <f>-178-8-48+6</f>
        <v>-228</v>
      </c>
    </row>
    <row r="88" spans="1:5" ht="12.75">
      <c r="A88" s="90" t="s">
        <v>312</v>
      </c>
      <c r="B88" s="106">
        <v>250</v>
      </c>
      <c r="C88" s="90">
        <v>142</v>
      </c>
      <c r="D88" s="90">
        <v>140</v>
      </c>
      <c r="E88" s="90">
        <v>140</v>
      </c>
    </row>
    <row r="89" spans="1:5" ht="12.75">
      <c r="A89" s="90" t="s">
        <v>313</v>
      </c>
      <c r="B89" s="106">
        <v>250</v>
      </c>
      <c r="C89" s="90">
        <f>-294-95-28</f>
        <v>-417</v>
      </c>
      <c r="D89" s="90">
        <f>-376-95-13-7-5</f>
        <v>-496</v>
      </c>
      <c r="E89" s="90">
        <f>-316-89-13-12-9</f>
        <v>-439</v>
      </c>
    </row>
    <row r="90" spans="1:5" ht="12.75">
      <c r="A90" s="90" t="s">
        <v>394</v>
      </c>
      <c r="B90" s="106" t="s">
        <v>379</v>
      </c>
      <c r="C90" s="90">
        <v>-225</v>
      </c>
      <c r="D90" s="90">
        <f>-165-30</f>
        <v>-195</v>
      </c>
      <c r="E90" s="90">
        <v>-195</v>
      </c>
    </row>
    <row r="91" spans="1:5" ht="12.75">
      <c r="A91" s="90" t="s">
        <v>314</v>
      </c>
      <c r="B91" s="106">
        <v>400</v>
      </c>
      <c r="C91" s="90">
        <f>-275-10-3-7</f>
        <v>-295</v>
      </c>
      <c r="D91" s="90">
        <f>-306.6-32-3-7</f>
        <v>-348.6</v>
      </c>
      <c r="E91" s="90">
        <f>-306.6-35-7</f>
        <v>-348.6</v>
      </c>
    </row>
    <row r="92" spans="1:5" ht="12.75">
      <c r="A92" s="90" t="s">
        <v>315</v>
      </c>
      <c r="B92" s="106" t="s">
        <v>376</v>
      </c>
      <c r="C92" s="90">
        <v>754</v>
      </c>
      <c r="D92" s="90">
        <v>754</v>
      </c>
      <c r="E92" s="90">
        <v>754</v>
      </c>
    </row>
    <row r="93" spans="1:5" ht="12.75">
      <c r="A93" s="90" t="s">
        <v>316</v>
      </c>
      <c r="B93" s="106">
        <v>250</v>
      </c>
      <c r="C93" s="90">
        <f>-73.5-10-10</f>
        <v>-93.5</v>
      </c>
      <c r="D93" s="90">
        <f>-101.5-25-10</f>
        <v>-136.5</v>
      </c>
      <c r="E93" s="90">
        <f>-101.5-25-10</f>
        <v>-136.5</v>
      </c>
    </row>
    <row r="94" spans="1:5" ht="12.75">
      <c r="A94" s="90" t="s">
        <v>317</v>
      </c>
      <c r="B94" s="106">
        <v>250</v>
      </c>
      <c r="C94" s="90">
        <v>53</v>
      </c>
      <c r="D94" s="90">
        <v>48</v>
      </c>
      <c r="E94" s="90">
        <v>48</v>
      </c>
    </row>
    <row r="95" spans="1:5" ht="12.75">
      <c r="A95" s="90" t="s">
        <v>318</v>
      </c>
      <c r="B95" s="106">
        <v>100</v>
      </c>
      <c r="C95" s="90">
        <v>37</v>
      </c>
      <c r="D95" s="90">
        <v>7</v>
      </c>
      <c r="E95" s="90">
        <v>7</v>
      </c>
    </row>
    <row r="96" spans="1:5" ht="12.75">
      <c r="A96" s="90" t="s">
        <v>319</v>
      </c>
      <c r="B96" s="106">
        <v>100</v>
      </c>
      <c r="C96" s="90">
        <v>10</v>
      </c>
      <c r="D96" s="90">
        <v>10</v>
      </c>
      <c r="E96" s="90">
        <v>10</v>
      </c>
    </row>
    <row r="97" spans="1:5" ht="12.75">
      <c r="A97" s="90" t="s">
        <v>395</v>
      </c>
      <c r="B97" s="106">
        <v>250</v>
      </c>
      <c r="C97" s="110">
        <f>131.8-5-5-33</f>
        <v>88.80000000000001</v>
      </c>
      <c r="D97" s="90">
        <f>108.8-10-33</f>
        <v>65.8</v>
      </c>
      <c r="E97" s="90">
        <f>108.8-5-33</f>
        <v>70.8</v>
      </c>
    </row>
    <row r="98" spans="1:5" ht="12.75">
      <c r="A98" s="90" t="s">
        <v>396</v>
      </c>
      <c r="B98" s="106">
        <v>160</v>
      </c>
      <c r="C98" s="90">
        <v>69.2</v>
      </c>
      <c r="D98" s="90">
        <f>89.2-3</f>
        <v>86.2</v>
      </c>
      <c r="E98" s="90">
        <f>89.2-3</f>
        <v>86.2</v>
      </c>
    </row>
    <row r="99" spans="1:5" ht="12.75">
      <c r="A99" s="90" t="s">
        <v>320</v>
      </c>
      <c r="B99" s="106">
        <v>250</v>
      </c>
      <c r="C99" s="90">
        <v>21.5</v>
      </c>
      <c r="D99" s="90">
        <v>-3.5</v>
      </c>
      <c r="E99" s="90">
        <v>-3.5</v>
      </c>
    </row>
    <row r="100" spans="1:5" ht="12.75">
      <c r="A100" s="90" t="s">
        <v>321</v>
      </c>
      <c r="B100" s="106" t="s">
        <v>376</v>
      </c>
      <c r="C100" s="90">
        <v>141.3</v>
      </c>
      <c r="D100" s="90">
        <v>141.3</v>
      </c>
      <c r="E100" s="90">
        <v>141.3</v>
      </c>
    </row>
    <row r="101" spans="1:5" ht="12.75">
      <c r="A101" s="90" t="s">
        <v>397</v>
      </c>
      <c r="B101" s="106" t="s">
        <v>376</v>
      </c>
      <c r="C101" s="90">
        <v>681.1</v>
      </c>
      <c r="D101" s="90">
        <v>681.1</v>
      </c>
      <c r="E101" s="90">
        <v>681.1</v>
      </c>
    </row>
    <row r="102" spans="1:5" ht="12.75">
      <c r="A102" s="90" t="s">
        <v>322</v>
      </c>
      <c r="B102" s="106" t="s">
        <v>376</v>
      </c>
      <c r="C102" s="90">
        <v>655</v>
      </c>
      <c r="D102" s="90">
        <v>655</v>
      </c>
      <c r="E102" s="90">
        <v>655</v>
      </c>
    </row>
    <row r="103" spans="1:5" ht="12.75">
      <c r="A103" s="90" t="s">
        <v>323</v>
      </c>
      <c r="B103" s="106" t="s">
        <v>379</v>
      </c>
      <c r="C103" s="90">
        <v>320</v>
      </c>
      <c r="D103" s="90">
        <v>58</v>
      </c>
      <c r="E103" s="90">
        <v>58</v>
      </c>
    </row>
    <row r="104" spans="1:5" ht="12.75">
      <c r="A104" s="90" t="s">
        <v>324</v>
      </c>
      <c r="B104" s="106">
        <v>400</v>
      </c>
      <c r="C104" s="90">
        <v>-40</v>
      </c>
      <c r="D104" s="90">
        <v>-40</v>
      </c>
      <c r="E104" s="90">
        <v>-40</v>
      </c>
    </row>
    <row r="105" spans="1:5" ht="12.75">
      <c r="A105" s="90" t="s">
        <v>325</v>
      </c>
      <c r="B105" s="106">
        <v>250</v>
      </c>
      <c r="C105" s="90">
        <v>-31.52</v>
      </c>
      <c r="D105" s="90">
        <v>-31.52</v>
      </c>
      <c r="E105" s="90">
        <v>-31.52</v>
      </c>
    </row>
    <row r="106" spans="1:5" ht="12.75">
      <c r="A106" s="90" t="s">
        <v>326</v>
      </c>
      <c r="B106" s="106">
        <v>250</v>
      </c>
      <c r="C106" s="90">
        <v>-68</v>
      </c>
      <c r="D106" s="90">
        <v>-68</v>
      </c>
      <c r="E106" s="90">
        <v>-68</v>
      </c>
    </row>
    <row r="107" spans="1:5" ht="12.75">
      <c r="A107" s="90" t="s">
        <v>327</v>
      </c>
      <c r="B107" s="106">
        <v>400</v>
      </c>
      <c r="C107" s="90">
        <v>-361</v>
      </c>
      <c r="D107" s="90">
        <v>-361</v>
      </c>
      <c r="E107" s="90">
        <v>-361</v>
      </c>
    </row>
    <row r="108" spans="1:5" ht="12.75">
      <c r="A108" s="90" t="s">
        <v>328</v>
      </c>
      <c r="B108" s="106">
        <v>250</v>
      </c>
      <c r="C108" s="90">
        <v>59.9</v>
      </c>
      <c r="D108" s="90">
        <v>44.9</v>
      </c>
      <c r="E108" s="90">
        <v>44.9</v>
      </c>
    </row>
    <row r="109" spans="1:5" ht="12.75">
      <c r="A109" s="90" t="s">
        <v>329</v>
      </c>
      <c r="B109" s="106">
        <v>630</v>
      </c>
      <c r="C109" s="90">
        <v>190</v>
      </c>
      <c r="D109" s="90">
        <v>190</v>
      </c>
      <c r="E109" s="90">
        <v>-60</v>
      </c>
    </row>
    <row r="110" spans="1:5" ht="12.75">
      <c r="A110" s="90" t="s">
        <v>330</v>
      </c>
      <c r="B110" s="106">
        <v>630</v>
      </c>
      <c r="C110" s="90">
        <v>190</v>
      </c>
      <c r="D110" s="90">
        <v>190</v>
      </c>
      <c r="E110" s="90">
        <v>31</v>
      </c>
    </row>
    <row r="111" spans="1:5" ht="12.75">
      <c r="A111" s="90" t="s">
        <v>331</v>
      </c>
      <c r="B111" s="106">
        <v>160</v>
      </c>
      <c r="C111" s="90">
        <v>5</v>
      </c>
      <c r="D111" s="90">
        <v>4</v>
      </c>
      <c r="E111" s="90">
        <v>4</v>
      </c>
    </row>
    <row r="112" spans="1:5" ht="12.75">
      <c r="A112" s="90" t="s">
        <v>332</v>
      </c>
      <c r="B112" s="106" t="s">
        <v>376</v>
      </c>
      <c r="C112" s="90">
        <v>800</v>
      </c>
      <c r="D112" s="90">
        <v>800</v>
      </c>
      <c r="E112" s="90">
        <v>800</v>
      </c>
    </row>
    <row r="113" spans="1:5" ht="12.75">
      <c r="A113" s="90" t="s">
        <v>333</v>
      </c>
      <c r="B113" s="106">
        <v>160</v>
      </c>
      <c r="C113" s="90">
        <v>79</v>
      </c>
      <c r="D113" s="90">
        <v>42</v>
      </c>
      <c r="E113" s="90">
        <v>42</v>
      </c>
    </row>
    <row r="114" spans="1:5" ht="12.75">
      <c r="A114" s="90" t="s">
        <v>334</v>
      </c>
      <c r="B114" s="106">
        <v>160</v>
      </c>
      <c r="C114" s="90">
        <v>70</v>
      </c>
      <c r="D114" s="90">
        <v>70</v>
      </c>
      <c r="E114" s="90">
        <v>70</v>
      </c>
    </row>
    <row r="115" spans="1:5" ht="12.75">
      <c r="A115" s="90" t="s">
        <v>335</v>
      </c>
      <c r="B115" s="106">
        <v>400</v>
      </c>
      <c r="C115" s="90">
        <f>-78.5-15</f>
        <v>-93.5</v>
      </c>
      <c r="D115" s="90">
        <v>-78.5</v>
      </c>
      <c r="E115" s="90">
        <v>-78.5</v>
      </c>
    </row>
    <row r="116" spans="1:5" ht="12.75">
      <c r="A116" s="90" t="s">
        <v>336</v>
      </c>
      <c r="B116" s="106" t="s">
        <v>379</v>
      </c>
      <c r="C116" s="90">
        <v>-71</v>
      </c>
      <c r="D116" s="90">
        <v>-96</v>
      </c>
      <c r="E116" s="90">
        <v>-96</v>
      </c>
    </row>
    <row r="117" spans="1:5" ht="12.75">
      <c r="A117" s="90" t="s">
        <v>337</v>
      </c>
      <c r="B117" s="111">
        <v>250</v>
      </c>
      <c r="C117" s="90">
        <v>-129.2</v>
      </c>
      <c r="D117" s="90">
        <v>-129.2</v>
      </c>
      <c r="E117" s="90">
        <v>-129.2</v>
      </c>
    </row>
    <row r="118" spans="1:5" ht="12.75">
      <c r="A118" s="90" t="s">
        <v>338</v>
      </c>
      <c r="B118" s="106">
        <v>630</v>
      </c>
      <c r="C118" s="109">
        <v>-817.55</v>
      </c>
      <c r="D118" s="109">
        <f>-817.55</f>
        <v>-817.55</v>
      </c>
      <c r="E118" s="109">
        <f>D118</f>
        <v>-817.55</v>
      </c>
    </row>
    <row r="119" spans="1:5" ht="12.75">
      <c r="A119" s="90" t="s">
        <v>339</v>
      </c>
      <c r="B119" s="106">
        <v>250</v>
      </c>
      <c r="C119" s="90">
        <v>-302.1</v>
      </c>
      <c r="D119" s="90">
        <v>-302.1</v>
      </c>
      <c r="E119" s="90">
        <v>-302.1</v>
      </c>
    </row>
    <row r="120" spans="1:5" ht="12.75">
      <c r="A120" s="90" t="s">
        <v>340</v>
      </c>
      <c r="B120" s="106">
        <v>160</v>
      </c>
      <c r="C120" s="90">
        <v>-95.7</v>
      </c>
      <c r="D120" s="90">
        <v>-95.7</v>
      </c>
      <c r="E120" s="90">
        <v>-95.7</v>
      </c>
    </row>
    <row r="121" spans="1:5" ht="12.75">
      <c r="A121" s="90" t="s">
        <v>341</v>
      </c>
      <c r="B121" s="106">
        <v>400</v>
      </c>
      <c r="C121" s="90">
        <v>60</v>
      </c>
      <c r="D121" s="90">
        <v>60</v>
      </c>
      <c r="E121" s="90">
        <v>37</v>
      </c>
    </row>
    <row r="122" spans="1:5" ht="12.75">
      <c r="A122" s="90" t="s">
        <v>342</v>
      </c>
      <c r="B122" s="106">
        <v>400</v>
      </c>
      <c r="C122" s="90">
        <v>60</v>
      </c>
      <c r="D122" s="90">
        <v>60</v>
      </c>
      <c r="E122" s="90">
        <v>-33</v>
      </c>
    </row>
    <row r="123" spans="1:5" ht="12.75">
      <c r="A123" s="90" t="s">
        <v>343</v>
      </c>
      <c r="B123" s="106">
        <v>400</v>
      </c>
      <c r="C123" s="90">
        <f>-160-25</f>
        <v>-185</v>
      </c>
      <c r="D123" s="90">
        <v>-205</v>
      </c>
      <c r="E123" s="90">
        <v>-205</v>
      </c>
    </row>
    <row r="124" spans="1:5" ht="12.75">
      <c r="A124" s="90" t="s">
        <v>344</v>
      </c>
      <c r="B124" s="106">
        <v>630</v>
      </c>
      <c r="C124" s="90">
        <v>-76</v>
      </c>
      <c r="D124" s="90">
        <f>-76-40</f>
        <v>-116</v>
      </c>
      <c r="E124" s="90">
        <v>-86</v>
      </c>
    </row>
    <row r="125" spans="1:5" ht="12.75">
      <c r="A125" s="90" t="s">
        <v>345</v>
      </c>
      <c r="B125" s="106">
        <v>400</v>
      </c>
      <c r="C125" s="90">
        <v>-55.4</v>
      </c>
      <c r="D125" s="90">
        <f>-55.4</f>
        <v>-55.4</v>
      </c>
      <c r="E125" s="90">
        <v>-55.4</v>
      </c>
    </row>
    <row r="126" spans="1:5" ht="12.75">
      <c r="A126" s="90" t="s">
        <v>346</v>
      </c>
      <c r="B126" s="106">
        <v>250</v>
      </c>
      <c r="C126" s="90">
        <v>-123</v>
      </c>
      <c r="D126" s="90">
        <v>-123</v>
      </c>
      <c r="E126" s="90">
        <v>-123</v>
      </c>
    </row>
    <row r="127" spans="1:5" ht="12.75">
      <c r="A127" s="90" t="s">
        <v>347</v>
      </c>
      <c r="B127" s="106">
        <v>160</v>
      </c>
      <c r="C127" s="90">
        <v>-31</v>
      </c>
      <c r="D127" s="90">
        <v>-46</v>
      </c>
      <c r="E127" s="90">
        <v>-46</v>
      </c>
    </row>
    <row r="128" spans="1:5" ht="12.75">
      <c r="A128" s="90" t="s">
        <v>348</v>
      </c>
      <c r="B128" s="106">
        <v>400</v>
      </c>
      <c r="C128" s="90">
        <v>-60</v>
      </c>
      <c r="D128" s="90">
        <v>-60</v>
      </c>
      <c r="E128" s="90">
        <v>-60</v>
      </c>
    </row>
    <row r="129" spans="1:5" ht="12.75">
      <c r="A129" s="90" t="s">
        <v>349</v>
      </c>
      <c r="B129" s="106">
        <v>400</v>
      </c>
      <c r="C129" s="90">
        <v>47</v>
      </c>
      <c r="D129" s="90">
        <v>48</v>
      </c>
      <c r="E129" s="90">
        <v>-309</v>
      </c>
    </row>
    <row r="130" spans="1:5" ht="12.75">
      <c r="A130" s="90" t="s">
        <v>320</v>
      </c>
      <c r="B130" s="106">
        <v>160</v>
      </c>
      <c r="C130" s="90">
        <f>31-1.5</f>
        <v>29.5</v>
      </c>
      <c r="D130" s="90">
        <f>31-1.5</f>
        <v>29.5</v>
      </c>
      <c r="E130" s="90">
        <v>31</v>
      </c>
    </row>
    <row r="131" spans="1:5" ht="12.75">
      <c r="A131" s="90" t="s">
        <v>350</v>
      </c>
      <c r="B131" s="106">
        <v>400</v>
      </c>
      <c r="C131" s="90">
        <v>-283.4</v>
      </c>
      <c r="D131" s="90">
        <v>-283.4</v>
      </c>
      <c r="E131" s="90">
        <v>-283.4</v>
      </c>
    </row>
    <row r="132" spans="1:5" ht="12.75">
      <c r="A132" s="90" t="s">
        <v>351</v>
      </c>
      <c r="B132" s="106">
        <v>250</v>
      </c>
      <c r="C132" s="90">
        <v>-153</v>
      </c>
      <c r="D132" s="90">
        <f>-153-6.4</f>
        <v>-159.4</v>
      </c>
      <c r="E132" s="90">
        <v>-153</v>
      </c>
    </row>
    <row r="133" spans="1:5" ht="12.75">
      <c r="A133" s="90" t="s">
        <v>352</v>
      </c>
      <c r="B133" s="106">
        <v>400</v>
      </c>
      <c r="C133" s="90">
        <v>-167</v>
      </c>
      <c r="D133" s="90">
        <v>-167</v>
      </c>
      <c r="E133" s="90">
        <v>-167</v>
      </c>
    </row>
    <row r="134" spans="1:5" ht="12.75">
      <c r="A134" s="90" t="s">
        <v>353</v>
      </c>
      <c r="B134" s="106">
        <v>250</v>
      </c>
      <c r="C134" s="90">
        <v>102</v>
      </c>
      <c r="D134" s="90">
        <v>102</v>
      </c>
      <c r="E134" s="90">
        <v>57</v>
      </c>
    </row>
    <row r="135" spans="1:5" ht="12.75">
      <c r="A135" s="90" t="s">
        <v>354</v>
      </c>
      <c r="B135" s="106">
        <v>400</v>
      </c>
      <c r="C135" s="90">
        <v>78</v>
      </c>
      <c r="D135" s="90">
        <v>78</v>
      </c>
      <c r="E135" s="90">
        <v>78</v>
      </c>
    </row>
    <row r="136" spans="1:5" ht="12.75">
      <c r="A136" s="90" t="s">
        <v>355</v>
      </c>
      <c r="B136" s="106">
        <v>400</v>
      </c>
      <c r="C136" s="90">
        <v>135</v>
      </c>
      <c r="D136" s="90">
        <v>135</v>
      </c>
      <c r="E136" s="90">
        <v>135</v>
      </c>
    </row>
    <row r="137" spans="1:5" ht="12.75">
      <c r="A137" s="90" t="s">
        <v>356</v>
      </c>
      <c r="B137" s="106">
        <v>400</v>
      </c>
      <c r="C137" s="90">
        <v>135</v>
      </c>
      <c r="D137" s="90">
        <v>135</v>
      </c>
      <c r="E137" s="90">
        <v>135</v>
      </c>
    </row>
    <row r="138" spans="1:5" ht="12.75">
      <c r="A138" s="90" t="s">
        <v>357</v>
      </c>
      <c r="B138" s="106">
        <v>400</v>
      </c>
      <c r="C138" s="90">
        <v>-40</v>
      </c>
      <c r="D138" s="90">
        <v>-40</v>
      </c>
      <c r="E138" s="90">
        <v>-40</v>
      </c>
    </row>
    <row r="139" spans="1:5" ht="12.75">
      <c r="A139" s="90" t="s">
        <v>358</v>
      </c>
      <c r="B139" s="106">
        <v>630</v>
      </c>
      <c r="C139" s="90">
        <v>20</v>
      </c>
      <c r="D139" s="90">
        <v>20</v>
      </c>
      <c r="E139" s="90">
        <v>20</v>
      </c>
    </row>
    <row r="140" spans="1:5" ht="12.75">
      <c r="A140" s="90" t="s">
        <v>359</v>
      </c>
      <c r="B140" s="106">
        <v>160</v>
      </c>
      <c r="C140" s="90">
        <v>44</v>
      </c>
      <c r="D140" s="90">
        <v>44</v>
      </c>
      <c r="E140" s="90">
        <v>44</v>
      </c>
    </row>
    <row r="141" spans="1:5" ht="12.75">
      <c r="A141" s="90" t="s">
        <v>360</v>
      </c>
      <c r="B141" s="106">
        <v>630</v>
      </c>
      <c r="C141" s="90">
        <v>-176</v>
      </c>
      <c r="D141" s="90">
        <v>-176</v>
      </c>
      <c r="E141" s="90">
        <v>-176</v>
      </c>
    </row>
    <row r="142" spans="1:5" ht="12.75">
      <c r="A142" s="90" t="s">
        <v>361</v>
      </c>
      <c r="B142" s="106">
        <v>250</v>
      </c>
      <c r="C142" s="90">
        <v>-101.5</v>
      </c>
      <c r="D142" s="90">
        <v>101.5</v>
      </c>
      <c r="E142" s="90">
        <v>101.5</v>
      </c>
    </row>
    <row r="143" spans="1:5" ht="12.75">
      <c r="A143" s="90" t="s">
        <v>362</v>
      </c>
      <c r="B143" s="111">
        <v>630</v>
      </c>
      <c r="C143" s="90">
        <v>90</v>
      </c>
      <c r="D143" s="90">
        <v>90</v>
      </c>
      <c r="E143" s="90">
        <v>90</v>
      </c>
    </row>
    <row r="144" spans="1:5" ht="12.75">
      <c r="A144" s="90" t="s">
        <v>363</v>
      </c>
      <c r="B144" s="106">
        <v>250</v>
      </c>
      <c r="C144" s="90">
        <v>-98</v>
      </c>
      <c r="D144" s="90">
        <v>-98</v>
      </c>
      <c r="E144" s="90">
        <v>-98</v>
      </c>
    </row>
    <row r="145" spans="1:5" ht="12.75">
      <c r="A145" s="90" t="s">
        <v>398</v>
      </c>
      <c r="B145" s="106">
        <v>63</v>
      </c>
      <c r="C145" s="90">
        <v>9.5</v>
      </c>
      <c r="D145" s="90">
        <v>9.5</v>
      </c>
      <c r="E145" s="90">
        <v>9.5</v>
      </c>
    </row>
    <row r="146" spans="1:5" ht="12.75">
      <c r="A146" s="90" t="s">
        <v>364</v>
      </c>
      <c r="B146" s="106">
        <v>250</v>
      </c>
      <c r="C146" s="90">
        <v>-38</v>
      </c>
      <c r="D146" s="90">
        <v>-38</v>
      </c>
      <c r="E146" s="90">
        <v>-38</v>
      </c>
    </row>
    <row r="147" spans="1:5" ht="12.75">
      <c r="A147" s="90" t="s">
        <v>365</v>
      </c>
      <c r="B147" s="106">
        <v>250</v>
      </c>
      <c r="C147" s="90">
        <f>91-10</f>
        <v>81</v>
      </c>
      <c r="D147" s="90">
        <f>91-10</f>
        <v>81</v>
      </c>
      <c r="E147" s="90">
        <f>91-10</f>
        <v>81</v>
      </c>
    </row>
    <row r="148" spans="1:5" ht="12.75">
      <c r="A148" s="90" t="s">
        <v>366</v>
      </c>
      <c r="B148" s="106">
        <v>250</v>
      </c>
      <c r="C148" s="90">
        <v>-35.7</v>
      </c>
      <c r="D148" s="90">
        <v>-35.7</v>
      </c>
      <c r="E148" s="90">
        <v>-35.7</v>
      </c>
    </row>
    <row r="149" spans="1:5" ht="12.75">
      <c r="A149" s="90" t="s">
        <v>367</v>
      </c>
      <c r="B149" s="106">
        <v>160</v>
      </c>
      <c r="C149" s="90">
        <v>62</v>
      </c>
      <c r="D149" s="90">
        <v>62</v>
      </c>
      <c r="E149" s="90">
        <v>62</v>
      </c>
    </row>
    <row r="150" spans="1:5" ht="12.75">
      <c r="A150" s="90" t="s">
        <v>368</v>
      </c>
      <c r="B150" s="106">
        <v>250</v>
      </c>
      <c r="C150" s="90">
        <v>82</v>
      </c>
      <c r="D150" s="90">
        <v>82</v>
      </c>
      <c r="E150" s="90">
        <v>82</v>
      </c>
    </row>
    <row r="151" spans="1:5" ht="12.75">
      <c r="A151" s="90" t="s">
        <v>399</v>
      </c>
      <c r="B151" s="106" t="s">
        <v>377</v>
      </c>
      <c r="C151" s="90">
        <v>709</v>
      </c>
      <c r="D151" s="90">
        <v>709</v>
      </c>
      <c r="E151" s="90">
        <v>709</v>
      </c>
    </row>
    <row r="152" spans="1:5" ht="12.75">
      <c r="A152" s="90" t="s">
        <v>369</v>
      </c>
      <c r="B152" s="106" t="s">
        <v>376</v>
      </c>
      <c r="C152" s="90">
        <v>270</v>
      </c>
      <c r="D152" s="90">
        <v>270</v>
      </c>
      <c r="E152" s="90">
        <v>270</v>
      </c>
    </row>
    <row r="153" spans="1:5" ht="12.75">
      <c r="A153" s="90" t="s">
        <v>370</v>
      </c>
      <c r="B153" s="106">
        <v>630</v>
      </c>
      <c r="C153" s="90">
        <v>-388.6</v>
      </c>
      <c r="D153" s="90">
        <v>-398.6</v>
      </c>
      <c r="E153" s="90">
        <v>-398.6</v>
      </c>
    </row>
    <row r="154" spans="1:5" ht="12.75">
      <c r="A154" s="90" t="s">
        <v>371</v>
      </c>
      <c r="B154" s="106">
        <v>400</v>
      </c>
      <c r="C154" s="90">
        <v>60</v>
      </c>
      <c r="D154" s="90">
        <v>60</v>
      </c>
      <c r="E154" s="90">
        <v>45</v>
      </c>
    </row>
    <row r="155" spans="1:5" ht="12.75">
      <c r="A155" s="90" t="s">
        <v>372</v>
      </c>
      <c r="B155" s="106" t="s">
        <v>379</v>
      </c>
      <c r="C155" s="90">
        <v>-721.5</v>
      </c>
      <c r="D155" s="90">
        <v>-721.5</v>
      </c>
      <c r="E155" s="90">
        <v>-721.5</v>
      </c>
    </row>
    <row r="156" spans="1:5" ht="12.75">
      <c r="A156" s="90" t="s">
        <v>400</v>
      </c>
      <c r="B156" s="106">
        <v>250</v>
      </c>
      <c r="C156" s="90">
        <f>67-40</f>
        <v>27</v>
      </c>
      <c r="D156" s="90">
        <f>67-40</f>
        <v>27</v>
      </c>
      <c r="E156" s="90">
        <f>67-40</f>
        <v>27</v>
      </c>
    </row>
    <row r="157" spans="1:5" ht="12.75">
      <c r="A157" s="90" t="s">
        <v>401</v>
      </c>
      <c r="B157" s="106">
        <v>400</v>
      </c>
      <c r="C157" s="90">
        <v>11.6</v>
      </c>
      <c r="D157" s="90">
        <f>-3.4-40</f>
        <v>-43.4</v>
      </c>
      <c r="E157" s="90">
        <v>-3.4</v>
      </c>
    </row>
    <row r="158" spans="1:5" ht="12.75">
      <c r="A158" s="90" t="s">
        <v>402</v>
      </c>
      <c r="B158" s="106">
        <v>250</v>
      </c>
      <c r="C158" s="90">
        <f>123.5-5</f>
        <v>118.5</v>
      </c>
      <c r="D158" s="90">
        <v>83.5</v>
      </c>
      <c r="E158" s="90">
        <v>83.5</v>
      </c>
    </row>
    <row r="159" spans="1:5" ht="12.75">
      <c r="A159" s="90" t="s">
        <v>403</v>
      </c>
      <c r="B159" s="106">
        <v>250</v>
      </c>
      <c r="C159" s="90">
        <f>52-25</f>
        <v>27</v>
      </c>
      <c r="D159" s="90">
        <f>-23-25</f>
        <v>-48</v>
      </c>
      <c r="E159" s="90">
        <f>-23-25</f>
        <v>-48</v>
      </c>
    </row>
    <row r="160" spans="1:5" ht="12.75">
      <c r="A160" s="90" t="s">
        <v>404</v>
      </c>
      <c r="B160" s="106">
        <v>250</v>
      </c>
      <c r="C160" s="90">
        <v>-103</v>
      </c>
      <c r="D160" s="90">
        <v>-103</v>
      </c>
      <c r="E160" s="90">
        <v>-103</v>
      </c>
    </row>
    <row r="161" spans="1:5" ht="12.75">
      <c r="A161" s="90" t="s">
        <v>289</v>
      </c>
      <c r="B161" s="106">
        <v>160</v>
      </c>
      <c r="C161" s="90">
        <v>137</v>
      </c>
      <c r="D161" s="90">
        <v>137</v>
      </c>
      <c r="E161" s="90">
        <v>137</v>
      </c>
    </row>
    <row r="162" spans="1:5" ht="12.75">
      <c r="A162" s="90" t="s">
        <v>290</v>
      </c>
      <c r="B162" s="106">
        <v>250</v>
      </c>
      <c r="C162" s="90">
        <v>102</v>
      </c>
      <c r="D162" s="90">
        <v>102</v>
      </c>
      <c r="E162" s="90">
        <v>62</v>
      </c>
    </row>
    <row r="163" spans="1:5" ht="12.75">
      <c r="A163" s="90" t="s">
        <v>373</v>
      </c>
      <c r="B163" s="106" t="s">
        <v>381</v>
      </c>
      <c r="C163" s="90">
        <v>-145</v>
      </c>
      <c r="D163" s="90">
        <v>-145</v>
      </c>
      <c r="E163" s="90">
        <v>-145</v>
      </c>
    </row>
    <row r="164" spans="1:5" ht="12.75">
      <c r="A164" s="90" t="s">
        <v>374</v>
      </c>
      <c r="B164" s="106">
        <v>400</v>
      </c>
      <c r="C164" s="90">
        <v>160</v>
      </c>
      <c r="D164" s="90">
        <v>160</v>
      </c>
      <c r="E164" s="90">
        <v>160</v>
      </c>
    </row>
    <row r="165" spans="1:5" ht="12.75">
      <c r="A165" s="90" t="s">
        <v>375</v>
      </c>
      <c r="B165" s="106">
        <v>400</v>
      </c>
      <c r="C165" s="90">
        <v>160</v>
      </c>
      <c r="D165" s="90">
        <v>160</v>
      </c>
      <c r="E165" s="90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H24" sqref="H24"/>
    </sheetView>
  </sheetViews>
  <sheetFormatPr defaultColWidth="9.140625" defaultRowHeight="12.75"/>
  <cols>
    <col min="5" max="5" width="12.8515625" style="0" customWidth="1"/>
    <col min="6" max="6" width="11.7109375" style="0" customWidth="1"/>
    <col min="7" max="7" width="0" style="0" hidden="1" customWidth="1"/>
    <col min="8" max="8" width="14.140625" style="0" customWidth="1"/>
    <col min="9" max="10" width="0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07" t="s">
        <v>150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>
      <c r="A2" s="207" t="s">
        <v>151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12.75">
      <c r="A3" s="209" t="s">
        <v>440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2.75">
      <c r="A4" s="210" t="s">
        <v>152</v>
      </c>
      <c r="B4" s="212" t="s">
        <v>71</v>
      </c>
      <c r="C4" s="213"/>
      <c r="D4" s="214" t="s">
        <v>64</v>
      </c>
      <c r="E4" s="212" t="s">
        <v>79</v>
      </c>
      <c r="F4" s="212" t="s">
        <v>153</v>
      </c>
      <c r="G4" s="73"/>
      <c r="H4" s="215" t="s">
        <v>83</v>
      </c>
      <c r="I4" s="73"/>
      <c r="J4" s="73"/>
      <c r="K4" s="212" t="s">
        <v>80</v>
      </c>
      <c r="L4" s="212" t="s">
        <v>154</v>
      </c>
      <c r="M4" s="212" t="s">
        <v>155</v>
      </c>
    </row>
    <row r="5" spans="1:13" ht="36" customHeight="1">
      <c r="A5" s="211"/>
      <c r="B5" s="213"/>
      <c r="C5" s="213"/>
      <c r="D5" s="214"/>
      <c r="E5" s="213"/>
      <c r="F5" s="213"/>
      <c r="G5" s="73"/>
      <c r="H5" s="216"/>
      <c r="I5" s="73"/>
      <c r="J5" s="73"/>
      <c r="K5" s="213"/>
      <c r="L5" s="212"/>
      <c r="M5" s="212"/>
    </row>
    <row r="6" spans="1:13" ht="24" customHeight="1">
      <c r="A6" s="219">
        <v>1</v>
      </c>
      <c r="B6" s="213" t="s">
        <v>156</v>
      </c>
      <c r="C6" s="213"/>
      <c r="D6" s="74" t="s">
        <v>62</v>
      </c>
      <c r="E6" s="74">
        <v>0</v>
      </c>
      <c r="F6" s="74">
        <v>0</v>
      </c>
      <c r="G6" s="73"/>
      <c r="H6" s="75">
        <v>0</v>
      </c>
      <c r="I6" s="73"/>
      <c r="J6" s="73"/>
      <c r="K6" s="74">
        <v>0</v>
      </c>
      <c r="L6" s="212" t="s">
        <v>157</v>
      </c>
      <c r="M6" s="217">
        <v>42725</v>
      </c>
    </row>
    <row r="7" spans="1:13" ht="22.5" customHeight="1">
      <c r="A7" s="219"/>
      <c r="B7" s="213"/>
      <c r="C7" s="213"/>
      <c r="D7" s="74" t="s">
        <v>60</v>
      </c>
      <c r="E7" s="74">
        <v>6.3</v>
      </c>
      <c r="F7" s="76">
        <f>((28368/24/0.87)+(34272/24/0.87))/1000</f>
        <v>3</v>
      </c>
      <c r="G7" s="73"/>
      <c r="H7" s="77">
        <f>(0.022-0.007)+(0.1-0.05)+(0.04-0.04)+(0.03-0.015)+(0.08-0.04)+(0.045-0.015)+(0.035-0.37521)+(0.015-0)+(0.014)-0.015-0.115+(0.1073-0.015)+(0.035+0.015)-0.03-0.015+(0.111-0.007)</f>
        <v>-0.08991000000000003</v>
      </c>
      <c r="I7" s="73"/>
      <c r="J7" s="73"/>
      <c r="K7" s="78">
        <f>E7-F7-H7</f>
        <v>3.38991</v>
      </c>
      <c r="L7" s="212"/>
      <c r="M7" s="218"/>
    </row>
    <row r="8" spans="1:13" ht="24" customHeight="1">
      <c r="A8" s="219">
        <v>2</v>
      </c>
      <c r="B8" s="213" t="s">
        <v>158</v>
      </c>
      <c r="C8" s="213"/>
      <c r="D8" s="74" t="s">
        <v>62</v>
      </c>
      <c r="E8" s="74">
        <v>0</v>
      </c>
      <c r="F8" s="74">
        <v>0</v>
      </c>
      <c r="G8" s="73"/>
      <c r="H8" s="75">
        <v>0</v>
      </c>
      <c r="I8" s="73"/>
      <c r="J8" s="73"/>
      <c r="K8" s="74">
        <v>0</v>
      </c>
      <c r="L8" s="212" t="s">
        <v>157</v>
      </c>
      <c r="M8" s="217">
        <v>42725</v>
      </c>
    </row>
    <row r="9" spans="1:13" ht="22.5" customHeight="1">
      <c r="A9" s="219"/>
      <c r="B9" s="213"/>
      <c r="C9" s="213"/>
      <c r="D9" s="74" t="s">
        <v>60</v>
      </c>
      <c r="E9" s="74">
        <v>4</v>
      </c>
      <c r="F9" s="76">
        <f>((36600/24/0.87)+(35160/24/0.87))/1000</f>
        <v>3.436781609195402</v>
      </c>
      <c r="G9" s="73"/>
      <c r="H9" s="77">
        <f>0.084+0.115+(0.15-0.085)+0.079+(0.258-0.102)+(0.02-0.022)+(0.015-0.015)+(0.085-0.015)+(0.2-0.155)+(0.035)-0.3-0.04+(0.075-0.045)-0.015+0.165+(0.005-0.005)</f>
        <v>0.4870000000000002</v>
      </c>
      <c r="I9" s="79"/>
      <c r="J9" s="79"/>
      <c r="K9" s="78">
        <f>E9-F9-H9</f>
        <v>0.0762183908045978</v>
      </c>
      <c r="L9" s="212"/>
      <c r="M9" s="218"/>
    </row>
    <row r="10" spans="1:13" ht="22.5" customHeight="1">
      <c r="A10" s="219">
        <v>3</v>
      </c>
      <c r="B10" s="220" t="s">
        <v>159</v>
      </c>
      <c r="C10" s="220"/>
      <c r="D10" s="117" t="s">
        <v>62</v>
      </c>
      <c r="E10" s="117">
        <v>0</v>
      </c>
      <c r="F10" s="117">
        <v>0</v>
      </c>
      <c r="G10" s="80"/>
      <c r="H10" s="117">
        <v>0</v>
      </c>
      <c r="I10" s="80"/>
      <c r="J10" s="80"/>
      <c r="K10" s="117">
        <v>0</v>
      </c>
      <c r="L10" s="212" t="s">
        <v>157</v>
      </c>
      <c r="M10" s="217">
        <v>42725</v>
      </c>
    </row>
    <row r="11" spans="1:13" ht="25.5" customHeight="1">
      <c r="A11" s="219"/>
      <c r="B11" s="220"/>
      <c r="C11" s="220"/>
      <c r="D11" s="117" t="s">
        <v>60</v>
      </c>
      <c r="E11" s="117">
        <v>4</v>
      </c>
      <c r="F11" s="81">
        <f>((37248/24/0.87)+(24768/24/0.87))/1000</f>
        <v>2.9701149425287356</v>
      </c>
      <c r="G11" s="80"/>
      <c r="H11" s="77">
        <f>(0.083-0.043)+(0.1935-0.04)+(0.177-0.2615)+0.165+0.071+(0.045-0.034)+(0.073-0.006)+(0.064-0.04)+(0.037-0.015)+(0.026)+(0.208-0.03)+(0.03-0.37)+0.165+(0.183-0.168)+(0.03-0.03)+(0.7-0.659)</f>
        <v>0.554</v>
      </c>
      <c r="I11" s="79"/>
      <c r="J11" s="79"/>
      <c r="K11" s="78">
        <f>E11-F11-H11</f>
        <v>0.4758850574712643</v>
      </c>
      <c r="L11" s="212"/>
      <c r="M11" s="218"/>
    </row>
    <row r="12" spans="1:13" ht="27" customHeight="1">
      <c r="A12" s="219">
        <v>4</v>
      </c>
      <c r="B12" s="213" t="s">
        <v>160</v>
      </c>
      <c r="C12" s="213"/>
      <c r="D12" s="74" t="s">
        <v>62</v>
      </c>
      <c r="E12" s="74">
        <v>0</v>
      </c>
      <c r="F12" s="74">
        <v>0</v>
      </c>
      <c r="G12" s="73"/>
      <c r="H12" s="75">
        <v>0</v>
      </c>
      <c r="I12" s="73"/>
      <c r="J12" s="73"/>
      <c r="K12" s="74">
        <v>0</v>
      </c>
      <c r="L12" s="212" t="s">
        <v>157</v>
      </c>
      <c r="M12" s="217">
        <v>42725</v>
      </c>
    </row>
    <row r="13" spans="1:13" ht="25.5" customHeight="1">
      <c r="A13" s="219"/>
      <c r="B13" s="213"/>
      <c r="C13" s="213"/>
      <c r="D13" s="74" t="s">
        <v>60</v>
      </c>
      <c r="E13" s="74">
        <v>6.3</v>
      </c>
      <c r="F13" s="76">
        <f>((49920/24/0.87)+(44520/24/0.87))/1000</f>
        <v>4.522988505747127</v>
      </c>
      <c r="G13" s="73"/>
      <c r="H13" s="77">
        <f>(0.064-0.027)+0.064+(0.147-0.104)+(0.165-0.13)+(0.224-0.035)+(0.171-0.145)+(0.418-0.01)+(0.352-0.097)+(0.065-0.022)+(0.269-0.052)+(0.051-0.066)+(0.346-0.021)+(0.03-0.074)+(0.309-0.398)</f>
        <v>1.494</v>
      </c>
      <c r="I13" s="79"/>
      <c r="J13" s="79"/>
      <c r="K13" s="78">
        <f>E13-F13-H13</f>
        <v>0.2830114942528732</v>
      </c>
      <c r="L13" s="212"/>
      <c r="M13" s="218"/>
    </row>
  </sheetData>
  <sheetProtection/>
  <mergeCells count="28">
    <mergeCell ref="A12:A13"/>
    <mergeCell ref="B12:C13"/>
    <mergeCell ref="L12:L13"/>
    <mergeCell ref="M12:M13"/>
    <mergeCell ref="A8:A9"/>
    <mergeCell ref="B8:C9"/>
    <mergeCell ref="L8:L9"/>
    <mergeCell ref="M8:M9"/>
    <mergeCell ref="A10:A11"/>
    <mergeCell ref="B10:C11"/>
    <mergeCell ref="L10:L11"/>
    <mergeCell ref="M10:M11"/>
    <mergeCell ref="L4:L5"/>
    <mergeCell ref="M4:M5"/>
    <mergeCell ref="A6:A7"/>
    <mergeCell ref="B6:C7"/>
    <mergeCell ref="L6:L7"/>
    <mergeCell ref="M6:M7"/>
    <mergeCell ref="A1:M1"/>
    <mergeCell ref="A2:M2"/>
    <mergeCell ref="A3:M3"/>
    <mergeCell ref="A4:A5"/>
    <mergeCell ref="B4:C5"/>
    <mergeCell ref="D4:D5"/>
    <mergeCell ref="E4:E5"/>
    <mergeCell ref="F4:F5"/>
    <mergeCell ref="H4:H5"/>
    <mergeCell ref="K4:K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85" zoomScaleNormal="85" zoomScalePageLayoutView="0" workbookViewId="0" topLeftCell="A1">
      <selection activeCell="D10" sqref="D10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07" t="s">
        <v>161</v>
      </c>
      <c r="B1" s="207"/>
      <c r="C1" s="207"/>
      <c r="D1" s="207"/>
      <c r="E1" s="207"/>
      <c r="F1" s="207"/>
      <c r="G1" s="207"/>
      <c r="H1" s="207"/>
      <c r="I1" s="207"/>
      <c r="J1" s="207"/>
      <c r="K1" s="113"/>
      <c r="L1" s="113"/>
      <c r="M1" s="113"/>
      <c r="N1" s="113"/>
    </row>
    <row r="2" spans="1:14" ht="24.75" customHeight="1">
      <c r="A2" s="207" t="s">
        <v>151</v>
      </c>
      <c r="B2" s="207"/>
      <c r="C2" s="207"/>
      <c r="D2" s="207"/>
      <c r="E2" s="207"/>
      <c r="F2" s="207"/>
      <c r="G2" s="207"/>
      <c r="H2" s="207"/>
      <c r="I2" s="207"/>
      <c r="J2" s="207"/>
      <c r="K2" s="112"/>
      <c r="L2" s="112"/>
      <c r="M2" s="112"/>
      <c r="N2" s="112"/>
    </row>
    <row r="3" spans="1:14" ht="24.75" customHeight="1" thickBot="1">
      <c r="A3" s="209" t="s">
        <v>440</v>
      </c>
      <c r="B3" s="209"/>
      <c r="C3" s="209"/>
      <c r="D3" s="209"/>
      <c r="E3" s="209"/>
      <c r="F3" s="209"/>
      <c r="G3" s="209"/>
      <c r="H3" s="209"/>
      <c r="I3" s="209"/>
      <c r="J3" s="209"/>
      <c r="K3" s="114"/>
      <c r="L3" s="114"/>
      <c r="M3" s="114"/>
      <c r="N3" s="114"/>
    </row>
    <row r="4" spans="1:14" ht="24.75" customHeight="1">
      <c r="A4" s="227" t="s">
        <v>152</v>
      </c>
      <c r="B4" s="229" t="s">
        <v>71</v>
      </c>
      <c r="C4" s="229" t="s">
        <v>64</v>
      </c>
      <c r="D4" s="102" t="s">
        <v>162</v>
      </c>
      <c r="E4" s="229" t="s">
        <v>89</v>
      </c>
      <c r="F4" s="83" t="s">
        <v>163</v>
      </c>
      <c r="G4" s="229" t="s">
        <v>164</v>
      </c>
      <c r="H4" s="83" t="s">
        <v>165</v>
      </c>
      <c r="I4" s="229" t="s">
        <v>87</v>
      </c>
      <c r="J4" s="229" t="s">
        <v>166</v>
      </c>
      <c r="K4" s="82"/>
      <c r="L4" s="72"/>
      <c r="M4" s="72"/>
      <c r="N4" s="72"/>
    </row>
    <row r="5" spans="1:14" ht="24.75" customHeight="1" thickBot="1">
      <c r="A5" s="228"/>
      <c r="B5" s="230"/>
      <c r="C5" s="230"/>
      <c r="D5" s="103" t="s">
        <v>167</v>
      </c>
      <c r="E5" s="230"/>
      <c r="F5" s="84" t="s">
        <v>168</v>
      </c>
      <c r="G5" s="230"/>
      <c r="H5" s="84" t="s">
        <v>169</v>
      </c>
      <c r="I5" s="230"/>
      <c r="J5" s="230"/>
      <c r="K5" s="82"/>
      <c r="L5" s="72"/>
      <c r="M5" s="72"/>
      <c r="N5" s="72"/>
    </row>
    <row r="6" spans="1:11" ht="24.75" customHeight="1" thickBot="1">
      <c r="A6" s="225">
        <v>1</v>
      </c>
      <c r="B6" s="231" t="s">
        <v>170</v>
      </c>
      <c r="C6" s="85" t="s">
        <v>60</v>
      </c>
      <c r="D6" s="85">
        <v>0</v>
      </c>
      <c r="E6" s="85">
        <v>0</v>
      </c>
      <c r="F6" s="85">
        <v>0</v>
      </c>
      <c r="G6" s="85">
        <f>D6-E6-F6</f>
        <v>0</v>
      </c>
      <c r="H6" s="221" t="s">
        <v>157</v>
      </c>
      <c r="I6" s="223">
        <v>40533</v>
      </c>
      <c r="J6" s="225" t="s">
        <v>171</v>
      </c>
      <c r="K6" s="82"/>
    </row>
    <row r="7" spans="1:11" ht="24.75" customHeight="1" thickBot="1">
      <c r="A7" s="226"/>
      <c r="B7" s="232"/>
      <c r="C7" s="85" t="s">
        <v>59</v>
      </c>
      <c r="D7" s="85">
        <v>0.25</v>
      </c>
      <c r="E7" s="85">
        <v>0.155</v>
      </c>
      <c r="F7" s="85">
        <f>0.004+0.022+0.06+0.05-0.015-0.007</f>
        <v>0.114</v>
      </c>
      <c r="G7" s="85">
        <f>D7-E7-F7</f>
        <v>-0.019000000000000003</v>
      </c>
      <c r="H7" s="222"/>
      <c r="I7" s="224"/>
      <c r="J7" s="226"/>
      <c r="K7" s="82"/>
    </row>
    <row r="8" spans="1:11" ht="24.75" customHeight="1" thickBot="1">
      <c r="A8" s="225">
        <v>2</v>
      </c>
      <c r="B8" s="231" t="s">
        <v>172</v>
      </c>
      <c r="C8" s="85" t="s">
        <v>60</v>
      </c>
      <c r="D8" s="85">
        <v>0</v>
      </c>
      <c r="E8" s="85">
        <v>0</v>
      </c>
      <c r="F8" s="85">
        <v>0</v>
      </c>
      <c r="G8" s="85">
        <f aca="true" t="shared" si="0" ref="G8:G72">D8-E8-F8</f>
        <v>0</v>
      </c>
      <c r="H8" s="221" t="s">
        <v>157</v>
      </c>
      <c r="I8" s="223">
        <v>40533</v>
      </c>
      <c r="J8" s="225" t="s">
        <v>171</v>
      </c>
      <c r="K8" s="82"/>
    </row>
    <row r="9" spans="1:11" ht="24.75" customHeight="1" thickBot="1">
      <c r="A9" s="226"/>
      <c r="B9" s="232"/>
      <c r="C9" s="85" t="s">
        <v>59</v>
      </c>
      <c r="D9" s="85">
        <v>0.63</v>
      </c>
      <c r="E9" s="85">
        <v>0.317</v>
      </c>
      <c r="F9" s="85">
        <v>0</v>
      </c>
      <c r="G9" s="85">
        <f t="shared" si="0"/>
        <v>0.313</v>
      </c>
      <c r="H9" s="222"/>
      <c r="I9" s="224"/>
      <c r="J9" s="226"/>
      <c r="K9" s="82"/>
    </row>
    <row r="10" spans="1:11" ht="24.75" customHeight="1" thickBot="1">
      <c r="A10" s="225">
        <v>3</v>
      </c>
      <c r="B10" s="231" t="s">
        <v>173</v>
      </c>
      <c r="C10" s="85" t="s">
        <v>60</v>
      </c>
      <c r="D10" s="85">
        <v>0</v>
      </c>
      <c r="E10" s="85">
        <v>0</v>
      </c>
      <c r="F10" s="85">
        <v>0</v>
      </c>
      <c r="G10" s="85">
        <f t="shared" si="0"/>
        <v>0</v>
      </c>
      <c r="H10" s="221" t="s">
        <v>157</v>
      </c>
      <c r="I10" s="223">
        <v>40533</v>
      </c>
      <c r="J10" s="225" t="s">
        <v>171</v>
      </c>
      <c r="K10" s="82"/>
    </row>
    <row r="11" spans="1:11" ht="24.75" customHeight="1" thickBot="1">
      <c r="A11" s="226"/>
      <c r="B11" s="232"/>
      <c r="C11" s="85" t="s">
        <v>59</v>
      </c>
      <c r="D11" s="85">
        <v>0.4</v>
      </c>
      <c r="E11" s="85">
        <v>0.23</v>
      </c>
      <c r="F11" s="85">
        <f>0.006+0.015+0.015</f>
        <v>0.036</v>
      </c>
      <c r="G11" s="85">
        <f t="shared" si="0"/>
        <v>0.134</v>
      </c>
      <c r="H11" s="222"/>
      <c r="I11" s="224"/>
      <c r="J11" s="226"/>
      <c r="K11" s="82"/>
    </row>
    <row r="12" spans="1:11" ht="24.75" customHeight="1" thickBot="1">
      <c r="A12" s="225">
        <v>4</v>
      </c>
      <c r="B12" s="231" t="s">
        <v>174</v>
      </c>
      <c r="C12" s="85" t="s">
        <v>60</v>
      </c>
      <c r="D12" s="85">
        <v>0</v>
      </c>
      <c r="E12" s="85">
        <v>0</v>
      </c>
      <c r="F12" s="85">
        <v>0</v>
      </c>
      <c r="G12" s="85">
        <f t="shared" si="0"/>
        <v>0</v>
      </c>
      <c r="H12" s="221" t="s">
        <v>157</v>
      </c>
      <c r="I12" s="223">
        <v>40533</v>
      </c>
      <c r="J12" s="225" t="s">
        <v>171</v>
      </c>
      <c r="K12" s="82"/>
    </row>
    <row r="13" spans="1:11" ht="24.75" customHeight="1" thickBot="1">
      <c r="A13" s="226"/>
      <c r="B13" s="232"/>
      <c r="C13" s="85" t="s">
        <v>59</v>
      </c>
      <c r="D13" s="85">
        <v>0.4</v>
      </c>
      <c r="E13" s="85">
        <v>0.245</v>
      </c>
      <c r="F13" s="85">
        <f>0.09+0.096</f>
        <v>0.186</v>
      </c>
      <c r="G13" s="85">
        <f t="shared" si="0"/>
        <v>-0.030999999999999972</v>
      </c>
      <c r="H13" s="222"/>
      <c r="I13" s="224"/>
      <c r="J13" s="226"/>
      <c r="K13" s="82"/>
    </row>
    <row r="14" spans="1:11" ht="24.75" customHeight="1" thickBot="1">
      <c r="A14" s="225">
        <v>5</v>
      </c>
      <c r="B14" s="231" t="s">
        <v>175</v>
      </c>
      <c r="C14" s="85" t="s">
        <v>60</v>
      </c>
      <c r="D14" s="85">
        <v>0</v>
      </c>
      <c r="E14" s="85">
        <v>0</v>
      </c>
      <c r="F14" s="85">
        <v>0</v>
      </c>
      <c r="G14" s="85">
        <f t="shared" si="0"/>
        <v>0</v>
      </c>
      <c r="H14" s="221" t="s">
        <v>157</v>
      </c>
      <c r="I14" s="223">
        <v>40533</v>
      </c>
      <c r="J14" s="225" t="s">
        <v>171</v>
      </c>
      <c r="K14" s="82"/>
    </row>
    <row r="15" spans="1:10" ht="24.75" customHeight="1" thickBot="1">
      <c r="A15" s="226"/>
      <c r="B15" s="232"/>
      <c r="C15" s="85" t="s">
        <v>59</v>
      </c>
      <c r="D15" s="85">
        <v>0.4</v>
      </c>
      <c r="E15" s="85">
        <v>0.151</v>
      </c>
      <c r="F15" s="85">
        <v>0</v>
      </c>
      <c r="G15" s="85">
        <f t="shared" si="0"/>
        <v>0.24900000000000003</v>
      </c>
      <c r="H15" s="222"/>
      <c r="I15" s="224"/>
      <c r="J15" s="226"/>
    </row>
    <row r="16" spans="1:15" ht="24.75" customHeight="1" outlineLevel="1" thickBot="1">
      <c r="A16" s="225">
        <v>6</v>
      </c>
      <c r="B16" s="231" t="s">
        <v>176</v>
      </c>
      <c r="C16" s="85" t="s">
        <v>60</v>
      </c>
      <c r="D16" s="85">
        <v>0</v>
      </c>
      <c r="E16" s="85">
        <v>0</v>
      </c>
      <c r="F16" s="85">
        <v>0</v>
      </c>
      <c r="G16" s="85">
        <f t="shared" si="0"/>
        <v>0</v>
      </c>
      <c r="H16" s="221" t="s">
        <v>157</v>
      </c>
      <c r="I16" s="223">
        <v>40533</v>
      </c>
      <c r="J16" s="225" t="s">
        <v>171</v>
      </c>
      <c r="L16" s="115"/>
      <c r="M16" s="115"/>
      <c r="N16" s="115"/>
      <c r="O16" s="82"/>
    </row>
    <row r="17" spans="1:15" ht="24.75" customHeight="1" thickBot="1">
      <c r="A17" s="226"/>
      <c r="B17" s="232"/>
      <c r="C17" s="85" t="s">
        <v>59</v>
      </c>
      <c r="D17" s="85">
        <v>0.63</v>
      </c>
      <c r="E17" s="85">
        <v>0.093</v>
      </c>
      <c r="F17" s="85">
        <v>0</v>
      </c>
      <c r="G17" s="85">
        <f t="shared" si="0"/>
        <v>0.537</v>
      </c>
      <c r="H17" s="222"/>
      <c r="I17" s="224"/>
      <c r="J17" s="226"/>
      <c r="L17" s="82"/>
      <c r="M17" s="82"/>
      <c r="N17" s="82"/>
      <c r="O17" s="82"/>
    </row>
    <row r="18" spans="1:15" ht="24.75" customHeight="1" thickBot="1">
      <c r="A18" s="225">
        <v>7</v>
      </c>
      <c r="B18" s="231" t="s">
        <v>177</v>
      </c>
      <c r="C18" s="85" t="s">
        <v>60</v>
      </c>
      <c r="D18" s="85">
        <v>0</v>
      </c>
      <c r="E18" s="85">
        <v>0</v>
      </c>
      <c r="F18" s="85">
        <v>0</v>
      </c>
      <c r="G18" s="85">
        <f t="shared" si="0"/>
        <v>0</v>
      </c>
      <c r="H18" s="221" t="s">
        <v>157</v>
      </c>
      <c r="I18" s="223">
        <v>40533</v>
      </c>
      <c r="J18" s="225" t="s">
        <v>171</v>
      </c>
      <c r="L18" s="82"/>
      <c r="M18" s="82"/>
      <c r="N18" s="82"/>
      <c r="O18" s="82"/>
    </row>
    <row r="19" spans="1:15" ht="24.75" customHeight="1" thickBot="1">
      <c r="A19" s="226"/>
      <c r="B19" s="232"/>
      <c r="C19" s="85" t="s">
        <v>59</v>
      </c>
      <c r="D19" s="85">
        <v>0.25</v>
      </c>
      <c r="E19" s="85">
        <v>0.097</v>
      </c>
      <c r="F19" s="85">
        <f>0.005+0.02</f>
        <v>0.025</v>
      </c>
      <c r="G19" s="85">
        <f t="shared" si="0"/>
        <v>0.128</v>
      </c>
      <c r="H19" s="222"/>
      <c r="I19" s="224"/>
      <c r="J19" s="226"/>
      <c r="L19" s="82"/>
      <c r="M19" s="82"/>
      <c r="N19" s="82"/>
      <c r="O19" s="82"/>
    </row>
    <row r="20" spans="1:15" ht="24.75" customHeight="1" thickBot="1">
      <c r="A20" s="225">
        <v>8</v>
      </c>
      <c r="B20" s="231" t="s">
        <v>178</v>
      </c>
      <c r="C20" s="85" t="s">
        <v>60</v>
      </c>
      <c r="D20" s="85">
        <v>0</v>
      </c>
      <c r="E20" s="85">
        <v>0</v>
      </c>
      <c r="F20" s="85">
        <v>0</v>
      </c>
      <c r="G20" s="85">
        <f t="shared" si="0"/>
        <v>0</v>
      </c>
      <c r="H20" s="221" t="s">
        <v>157</v>
      </c>
      <c r="I20" s="223">
        <v>40533</v>
      </c>
      <c r="J20" s="225" t="s">
        <v>171</v>
      </c>
      <c r="L20" s="82"/>
      <c r="M20" s="82"/>
      <c r="N20" s="82"/>
      <c r="O20" s="82"/>
    </row>
    <row r="21" spans="1:15" ht="24.75" customHeight="1" thickBot="1">
      <c r="A21" s="226"/>
      <c r="B21" s="232"/>
      <c r="C21" s="85" t="s">
        <v>59</v>
      </c>
      <c r="D21" s="85">
        <v>0.25</v>
      </c>
      <c r="E21" s="85">
        <v>0.143</v>
      </c>
      <c r="F21" s="85"/>
      <c r="G21" s="85">
        <f t="shared" si="0"/>
        <v>0.10700000000000001</v>
      </c>
      <c r="H21" s="222"/>
      <c r="I21" s="224"/>
      <c r="J21" s="226"/>
      <c r="L21" s="82"/>
      <c r="M21" s="82"/>
      <c r="N21" s="82"/>
      <c r="O21" s="82"/>
    </row>
    <row r="22" spans="1:15" ht="24.75" customHeight="1" thickBot="1">
      <c r="A22" s="225">
        <v>9</v>
      </c>
      <c r="B22" s="231" t="s">
        <v>179</v>
      </c>
      <c r="C22" s="85" t="s">
        <v>60</v>
      </c>
      <c r="D22" s="85">
        <v>0</v>
      </c>
      <c r="E22" s="85">
        <v>0</v>
      </c>
      <c r="F22" s="85">
        <v>0</v>
      </c>
      <c r="G22" s="85">
        <f t="shared" si="0"/>
        <v>0</v>
      </c>
      <c r="H22" s="221" t="s">
        <v>157</v>
      </c>
      <c r="I22" s="223">
        <v>40533</v>
      </c>
      <c r="J22" s="225" t="s">
        <v>171</v>
      </c>
      <c r="L22" s="82"/>
      <c r="M22" s="82"/>
      <c r="N22" s="82"/>
      <c r="O22" s="82"/>
    </row>
    <row r="23" spans="1:15" ht="24.75" customHeight="1" thickBot="1">
      <c r="A23" s="226"/>
      <c r="B23" s="232"/>
      <c r="C23" s="85" t="s">
        <v>59</v>
      </c>
      <c r="D23" s="85">
        <v>0.63</v>
      </c>
      <c r="E23" s="85">
        <v>0.19</v>
      </c>
      <c r="F23" s="85">
        <f>0.008+0.015</f>
        <v>0.023</v>
      </c>
      <c r="G23" s="85">
        <f t="shared" si="0"/>
        <v>0.417</v>
      </c>
      <c r="H23" s="222"/>
      <c r="I23" s="224"/>
      <c r="J23" s="226"/>
      <c r="L23" s="82"/>
      <c r="M23" s="82"/>
      <c r="N23" s="82"/>
      <c r="O23" s="82"/>
    </row>
    <row r="24" spans="1:15" ht="24.75" customHeight="1" thickBot="1">
      <c r="A24" s="225">
        <v>10</v>
      </c>
      <c r="B24" s="231" t="s">
        <v>180</v>
      </c>
      <c r="C24" s="85" t="s">
        <v>60</v>
      </c>
      <c r="D24" s="85">
        <v>0</v>
      </c>
      <c r="E24" s="85">
        <v>0</v>
      </c>
      <c r="F24" s="85">
        <v>0</v>
      </c>
      <c r="G24" s="85">
        <f t="shared" si="0"/>
        <v>0</v>
      </c>
      <c r="H24" s="221" t="s">
        <v>157</v>
      </c>
      <c r="I24" s="223">
        <v>40533</v>
      </c>
      <c r="J24" s="225" t="s">
        <v>171</v>
      </c>
      <c r="L24" s="82"/>
      <c r="M24" s="82"/>
      <c r="N24" s="82"/>
      <c r="O24" s="82"/>
    </row>
    <row r="25" spans="1:15" ht="24.75" customHeight="1" thickBot="1">
      <c r="A25" s="226"/>
      <c r="B25" s="232"/>
      <c r="C25" s="85" t="s">
        <v>59</v>
      </c>
      <c r="D25" s="85">
        <v>0.4</v>
      </c>
      <c r="E25" s="85">
        <v>0.204</v>
      </c>
      <c r="F25" s="85">
        <v>0</v>
      </c>
      <c r="G25" s="85">
        <f t="shared" si="0"/>
        <v>0.19600000000000004</v>
      </c>
      <c r="H25" s="222"/>
      <c r="I25" s="224"/>
      <c r="J25" s="226"/>
      <c r="L25" s="82"/>
      <c r="M25" s="82"/>
      <c r="N25" s="82"/>
      <c r="O25" s="82"/>
    </row>
    <row r="26" spans="1:15" ht="24.75" customHeight="1" thickBot="1">
      <c r="A26" s="225">
        <v>11</v>
      </c>
      <c r="B26" s="231" t="s">
        <v>181</v>
      </c>
      <c r="C26" s="85" t="s">
        <v>60</v>
      </c>
      <c r="D26" s="85">
        <v>0</v>
      </c>
      <c r="E26" s="85">
        <v>0</v>
      </c>
      <c r="F26" s="85">
        <v>0</v>
      </c>
      <c r="G26" s="85">
        <f t="shared" si="0"/>
        <v>0</v>
      </c>
      <c r="H26" s="221" t="s">
        <v>157</v>
      </c>
      <c r="I26" s="223">
        <v>40533</v>
      </c>
      <c r="J26" s="225" t="s">
        <v>171</v>
      </c>
      <c r="L26" s="82"/>
      <c r="M26" s="82"/>
      <c r="N26" s="82"/>
      <c r="O26" s="82"/>
    </row>
    <row r="27" spans="1:15" ht="24.75" customHeight="1" thickBot="1">
      <c r="A27" s="226"/>
      <c r="B27" s="232"/>
      <c r="C27" s="85" t="s">
        <v>59</v>
      </c>
      <c r="D27" s="85">
        <v>0.4</v>
      </c>
      <c r="E27" s="85">
        <v>0.217</v>
      </c>
      <c r="F27" s="85">
        <v>0</v>
      </c>
      <c r="G27" s="85">
        <f t="shared" si="0"/>
        <v>0.18300000000000002</v>
      </c>
      <c r="H27" s="222"/>
      <c r="I27" s="224"/>
      <c r="J27" s="226"/>
      <c r="L27" s="82"/>
      <c r="M27" s="82"/>
      <c r="N27" s="82"/>
      <c r="O27" s="82"/>
    </row>
    <row r="28" spans="1:15" ht="24.75" customHeight="1" thickBot="1">
      <c r="A28" s="225">
        <v>12</v>
      </c>
      <c r="B28" s="231" t="s">
        <v>182</v>
      </c>
      <c r="C28" s="85" t="s">
        <v>60</v>
      </c>
      <c r="D28" s="85">
        <v>0</v>
      </c>
      <c r="E28" s="85">
        <v>0</v>
      </c>
      <c r="F28" s="85">
        <v>0</v>
      </c>
      <c r="G28" s="85">
        <f t="shared" si="0"/>
        <v>0</v>
      </c>
      <c r="H28" s="221" t="s">
        <v>157</v>
      </c>
      <c r="I28" s="223">
        <v>40533</v>
      </c>
      <c r="J28" s="225" t="s">
        <v>171</v>
      </c>
      <c r="L28" s="82"/>
      <c r="M28" s="82"/>
      <c r="N28" s="82"/>
      <c r="O28" s="82"/>
    </row>
    <row r="29" spans="1:10" ht="24.75" customHeight="1" thickBot="1">
      <c r="A29" s="226"/>
      <c r="B29" s="232"/>
      <c r="C29" s="85" t="s">
        <v>59</v>
      </c>
      <c r="D29" s="85">
        <v>0.63</v>
      </c>
      <c r="E29" s="85">
        <v>0.267</v>
      </c>
      <c r="F29" s="85">
        <f>0.007+0.004</f>
        <v>0.011</v>
      </c>
      <c r="G29" s="85">
        <f t="shared" si="0"/>
        <v>0.352</v>
      </c>
      <c r="H29" s="222"/>
      <c r="I29" s="224"/>
      <c r="J29" s="226"/>
    </row>
    <row r="30" spans="1:10" ht="24.75" customHeight="1" thickBot="1">
      <c r="A30" s="225">
        <v>13</v>
      </c>
      <c r="B30" s="231" t="s">
        <v>183</v>
      </c>
      <c r="C30" s="85" t="s">
        <v>60</v>
      </c>
      <c r="D30" s="85">
        <v>0</v>
      </c>
      <c r="E30" s="85">
        <v>0</v>
      </c>
      <c r="F30" s="85">
        <v>0</v>
      </c>
      <c r="G30" s="85">
        <f t="shared" si="0"/>
        <v>0</v>
      </c>
      <c r="H30" s="221" t="s">
        <v>157</v>
      </c>
      <c r="I30" s="223">
        <v>40533</v>
      </c>
      <c r="J30" s="225" t="s">
        <v>171</v>
      </c>
    </row>
    <row r="31" spans="1:10" ht="24.75" customHeight="1" thickBot="1">
      <c r="A31" s="226"/>
      <c r="B31" s="232"/>
      <c r="C31" s="85" t="s">
        <v>184</v>
      </c>
      <c r="D31" s="85">
        <v>0.4</v>
      </c>
      <c r="E31" s="85">
        <v>0.164</v>
      </c>
      <c r="F31" s="85">
        <v>0</v>
      </c>
      <c r="G31" s="85">
        <f t="shared" si="0"/>
        <v>0.23600000000000002</v>
      </c>
      <c r="H31" s="222"/>
      <c r="I31" s="224"/>
      <c r="J31" s="226"/>
    </row>
    <row r="32" spans="1:10" ht="24.75" customHeight="1" thickBot="1">
      <c r="A32" s="225">
        <v>14</v>
      </c>
      <c r="B32" s="231" t="s">
        <v>185</v>
      </c>
      <c r="C32" s="85" t="s">
        <v>60</v>
      </c>
      <c r="D32" s="85">
        <v>0</v>
      </c>
      <c r="E32" s="85">
        <v>0</v>
      </c>
      <c r="F32" s="85">
        <v>0</v>
      </c>
      <c r="G32" s="85">
        <f t="shared" si="0"/>
        <v>0</v>
      </c>
      <c r="H32" s="221" t="s">
        <v>157</v>
      </c>
      <c r="I32" s="223">
        <v>40533</v>
      </c>
      <c r="J32" s="225" t="s">
        <v>171</v>
      </c>
    </row>
    <row r="33" spans="1:10" ht="24.75" customHeight="1" thickBot="1">
      <c r="A33" s="226"/>
      <c r="B33" s="232"/>
      <c r="C33" s="85" t="s">
        <v>59</v>
      </c>
      <c r="D33" s="85">
        <v>0.25</v>
      </c>
      <c r="E33" s="85">
        <v>0.14</v>
      </c>
      <c r="F33" s="85">
        <f>0.017-0.15</f>
        <v>-0.133</v>
      </c>
      <c r="G33" s="85">
        <f t="shared" si="0"/>
        <v>0.243</v>
      </c>
      <c r="H33" s="222"/>
      <c r="I33" s="224"/>
      <c r="J33" s="226"/>
    </row>
    <row r="34" spans="1:10" ht="24.75" customHeight="1" thickBot="1">
      <c r="A34" s="225">
        <v>15</v>
      </c>
      <c r="B34" s="233" t="s">
        <v>186</v>
      </c>
      <c r="C34" s="85" t="s">
        <v>60</v>
      </c>
      <c r="D34" s="85">
        <v>0</v>
      </c>
      <c r="E34" s="85">
        <v>0</v>
      </c>
      <c r="F34" s="85">
        <v>0</v>
      </c>
      <c r="G34" s="85">
        <f t="shared" si="0"/>
        <v>0</v>
      </c>
      <c r="H34" s="221" t="s">
        <v>157</v>
      </c>
      <c r="I34" s="223">
        <v>40533</v>
      </c>
      <c r="J34" s="225" t="s">
        <v>171</v>
      </c>
    </row>
    <row r="35" spans="1:10" ht="24.75" customHeight="1" thickBot="1">
      <c r="A35" s="226"/>
      <c r="B35" s="234"/>
      <c r="C35" s="85" t="s">
        <v>59</v>
      </c>
      <c r="D35" s="85">
        <v>0.63</v>
      </c>
      <c r="E35" s="86">
        <v>0.14</v>
      </c>
      <c r="F35" s="85">
        <v>0.003</v>
      </c>
      <c r="G35" s="85">
        <f t="shared" si="0"/>
        <v>0.487</v>
      </c>
      <c r="H35" s="222"/>
      <c r="I35" s="224"/>
      <c r="J35" s="226"/>
    </row>
    <row r="36" spans="1:10" ht="24.75" customHeight="1" thickBot="1">
      <c r="A36" s="225">
        <v>16</v>
      </c>
      <c r="B36" s="231" t="s">
        <v>187</v>
      </c>
      <c r="C36" s="85" t="s">
        <v>60</v>
      </c>
      <c r="D36" s="85">
        <v>0</v>
      </c>
      <c r="E36" s="85">
        <v>0</v>
      </c>
      <c r="F36" s="85">
        <v>0</v>
      </c>
      <c r="G36" s="85">
        <f t="shared" si="0"/>
        <v>0</v>
      </c>
      <c r="H36" s="221" t="s">
        <v>157</v>
      </c>
      <c r="I36" s="223">
        <v>40533</v>
      </c>
      <c r="J36" s="225" t="s">
        <v>171</v>
      </c>
    </row>
    <row r="37" spans="1:10" ht="24.75" customHeight="1" thickBot="1">
      <c r="A37" s="226"/>
      <c r="B37" s="232"/>
      <c r="C37" s="85" t="s">
        <v>59</v>
      </c>
      <c r="D37" s="85">
        <v>0.63</v>
      </c>
      <c r="E37" s="85">
        <v>0.146</v>
      </c>
      <c r="F37" s="85">
        <v>0.035</v>
      </c>
      <c r="G37" s="85">
        <f t="shared" si="0"/>
        <v>0.44899999999999995</v>
      </c>
      <c r="H37" s="222"/>
      <c r="I37" s="224"/>
      <c r="J37" s="226"/>
    </row>
    <row r="38" spans="1:10" ht="24.75" customHeight="1" thickBot="1">
      <c r="A38" s="225">
        <v>17</v>
      </c>
      <c r="B38" s="231" t="s">
        <v>188</v>
      </c>
      <c r="C38" s="85" t="s">
        <v>60</v>
      </c>
      <c r="D38" s="85">
        <v>0</v>
      </c>
      <c r="E38" s="85">
        <v>0</v>
      </c>
      <c r="F38" s="85">
        <v>0</v>
      </c>
      <c r="G38" s="85">
        <f t="shared" si="0"/>
        <v>0</v>
      </c>
      <c r="H38" s="221" t="s">
        <v>157</v>
      </c>
      <c r="I38" s="223">
        <v>40533</v>
      </c>
      <c r="J38" s="225" t="s">
        <v>171</v>
      </c>
    </row>
    <row r="39" spans="1:10" ht="24.75" customHeight="1" thickBot="1">
      <c r="A39" s="226"/>
      <c r="B39" s="232"/>
      <c r="C39" s="85" t="s">
        <v>59</v>
      </c>
      <c r="D39" s="85">
        <v>0.25</v>
      </c>
      <c r="E39" s="85">
        <v>0.076</v>
      </c>
      <c r="F39" s="85">
        <v>0.007</v>
      </c>
      <c r="G39" s="85">
        <f t="shared" si="0"/>
        <v>0.16699999999999998</v>
      </c>
      <c r="H39" s="222"/>
      <c r="I39" s="224"/>
      <c r="J39" s="226"/>
    </row>
    <row r="40" spans="1:10" ht="24.75" customHeight="1" thickBot="1">
      <c r="A40" s="225">
        <v>18</v>
      </c>
      <c r="B40" s="231" t="s">
        <v>189</v>
      </c>
      <c r="C40" s="85" t="s">
        <v>60</v>
      </c>
      <c r="D40" s="85">
        <v>0</v>
      </c>
      <c r="E40" s="85">
        <v>0</v>
      </c>
      <c r="F40" s="85">
        <v>0</v>
      </c>
      <c r="G40" s="85">
        <f t="shared" si="0"/>
        <v>0</v>
      </c>
      <c r="H40" s="221" t="s">
        <v>157</v>
      </c>
      <c r="I40" s="223">
        <v>40533</v>
      </c>
      <c r="J40" s="225" t="s">
        <v>171</v>
      </c>
    </row>
    <row r="41" spans="1:10" ht="24.75" customHeight="1" thickBot="1">
      <c r="A41" s="226"/>
      <c r="B41" s="232"/>
      <c r="C41" s="85" t="s">
        <v>59</v>
      </c>
      <c r="D41" s="85">
        <v>0.63</v>
      </c>
      <c r="E41" s="85">
        <v>0.134</v>
      </c>
      <c r="F41" s="85">
        <f>0.05</f>
        <v>0.05</v>
      </c>
      <c r="G41" s="85">
        <f t="shared" si="0"/>
        <v>0.446</v>
      </c>
      <c r="H41" s="222"/>
      <c r="I41" s="224"/>
      <c r="J41" s="226"/>
    </row>
    <row r="42" spans="1:10" ht="24.75" customHeight="1" thickBot="1">
      <c r="A42" s="225">
        <v>19</v>
      </c>
      <c r="B42" s="231" t="s">
        <v>190</v>
      </c>
      <c r="C42" s="85" t="s">
        <v>60</v>
      </c>
      <c r="D42" s="85">
        <v>0</v>
      </c>
      <c r="E42" s="85">
        <v>0</v>
      </c>
      <c r="F42" s="85">
        <v>0</v>
      </c>
      <c r="G42" s="85">
        <f t="shared" si="0"/>
        <v>0</v>
      </c>
      <c r="H42" s="221" t="s">
        <v>157</v>
      </c>
      <c r="I42" s="223">
        <v>40533</v>
      </c>
      <c r="J42" s="225" t="s">
        <v>171</v>
      </c>
    </row>
    <row r="43" spans="1:10" ht="24.75" customHeight="1" thickBot="1">
      <c r="A43" s="226"/>
      <c r="B43" s="232"/>
      <c r="C43" s="85" t="s">
        <v>59</v>
      </c>
      <c r="D43" s="85">
        <v>0.4</v>
      </c>
      <c r="E43" s="85">
        <v>0.063</v>
      </c>
      <c r="F43" s="85">
        <v>0</v>
      </c>
      <c r="G43" s="85">
        <f t="shared" si="0"/>
        <v>0.337</v>
      </c>
      <c r="H43" s="222"/>
      <c r="I43" s="224"/>
      <c r="J43" s="226"/>
    </row>
    <row r="44" spans="1:10" ht="24.75" customHeight="1" thickBot="1">
      <c r="A44" s="225">
        <v>20</v>
      </c>
      <c r="B44" s="231" t="s">
        <v>191</v>
      </c>
      <c r="C44" s="85" t="s">
        <v>60</v>
      </c>
      <c r="D44" s="85">
        <v>0</v>
      </c>
      <c r="E44" s="85">
        <v>0</v>
      </c>
      <c r="F44" s="85">
        <v>0</v>
      </c>
      <c r="G44" s="85">
        <f t="shared" si="0"/>
        <v>0</v>
      </c>
      <c r="H44" s="221" t="s">
        <v>157</v>
      </c>
      <c r="I44" s="223">
        <v>40533</v>
      </c>
      <c r="J44" s="225" t="s">
        <v>171</v>
      </c>
    </row>
    <row r="45" spans="1:10" ht="24.75" customHeight="1" thickBot="1">
      <c r="A45" s="226"/>
      <c r="B45" s="232"/>
      <c r="C45" s="85" t="s">
        <v>59</v>
      </c>
      <c r="D45" s="85">
        <v>0.4</v>
      </c>
      <c r="E45" s="85">
        <v>0.091</v>
      </c>
      <c r="F45" s="85">
        <v>0.008</v>
      </c>
      <c r="G45" s="85">
        <f t="shared" si="0"/>
        <v>0.30100000000000005</v>
      </c>
      <c r="H45" s="222"/>
      <c r="I45" s="224"/>
      <c r="J45" s="226"/>
    </row>
    <row r="46" spans="1:10" ht="24.75" customHeight="1" thickBot="1">
      <c r="A46" s="225">
        <v>21</v>
      </c>
      <c r="B46" s="231" t="s">
        <v>192</v>
      </c>
      <c r="C46" s="85" t="s">
        <v>60</v>
      </c>
      <c r="D46" s="85">
        <v>0</v>
      </c>
      <c r="E46" s="85">
        <v>0</v>
      </c>
      <c r="F46" s="85">
        <v>0</v>
      </c>
      <c r="G46" s="85">
        <f t="shared" si="0"/>
        <v>0</v>
      </c>
      <c r="H46" s="221" t="s">
        <v>157</v>
      </c>
      <c r="I46" s="223">
        <v>40533</v>
      </c>
      <c r="J46" s="225" t="s">
        <v>171</v>
      </c>
    </row>
    <row r="47" spans="1:10" ht="24.75" customHeight="1" thickBot="1">
      <c r="A47" s="226"/>
      <c r="B47" s="232"/>
      <c r="C47" s="85" t="s">
        <v>59</v>
      </c>
      <c r="D47" s="85">
        <v>0.63</v>
      </c>
      <c r="E47" s="85">
        <v>0.32</v>
      </c>
      <c r="F47" s="85">
        <f>0.037+0.004+0.008+0.03+0.08-0.007+0.015-0.03</f>
        <v>0.13699999999999998</v>
      </c>
      <c r="G47" s="85">
        <f t="shared" si="0"/>
        <v>0.17300000000000001</v>
      </c>
      <c r="H47" s="222"/>
      <c r="I47" s="224"/>
      <c r="J47" s="226"/>
    </row>
    <row r="48" spans="1:10" ht="24.75" customHeight="1" thickBot="1">
      <c r="A48" s="225">
        <v>22</v>
      </c>
      <c r="B48" s="231" t="s">
        <v>193</v>
      </c>
      <c r="C48" s="85" t="s">
        <v>60</v>
      </c>
      <c r="D48" s="85">
        <v>0</v>
      </c>
      <c r="E48" s="85">
        <v>0</v>
      </c>
      <c r="F48" s="85">
        <v>0</v>
      </c>
      <c r="G48" s="85">
        <f t="shared" si="0"/>
        <v>0</v>
      </c>
      <c r="H48" s="221" t="s">
        <v>157</v>
      </c>
      <c r="I48" s="223">
        <v>40533</v>
      </c>
      <c r="J48" s="225" t="s">
        <v>171</v>
      </c>
    </row>
    <row r="49" spans="1:10" ht="24.75" customHeight="1" thickBot="1">
      <c r="A49" s="226"/>
      <c r="B49" s="232"/>
      <c r="C49" s="85" t="s">
        <v>59</v>
      </c>
      <c r="D49" s="85">
        <v>0.4</v>
      </c>
      <c r="E49" s="85">
        <v>0.255</v>
      </c>
      <c r="F49" s="85">
        <v>0</v>
      </c>
      <c r="G49" s="85">
        <f t="shared" si="0"/>
        <v>0.14500000000000002</v>
      </c>
      <c r="H49" s="222"/>
      <c r="I49" s="224"/>
      <c r="J49" s="226"/>
    </row>
    <row r="50" spans="1:10" ht="24.75" customHeight="1" thickBot="1">
      <c r="A50" s="225">
        <v>23</v>
      </c>
      <c r="B50" s="231" t="s">
        <v>194</v>
      </c>
      <c r="C50" s="85" t="s">
        <v>60</v>
      </c>
      <c r="D50" s="85">
        <v>0</v>
      </c>
      <c r="E50" s="85">
        <v>0</v>
      </c>
      <c r="F50" s="85">
        <v>0</v>
      </c>
      <c r="G50" s="85">
        <f t="shared" si="0"/>
        <v>0</v>
      </c>
      <c r="H50" s="221" t="s">
        <v>157</v>
      </c>
      <c r="I50" s="223">
        <v>40533</v>
      </c>
      <c r="J50" s="225" t="s">
        <v>171</v>
      </c>
    </row>
    <row r="51" spans="1:10" ht="24.75" customHeight="1" thickBot="1">
      <c r="A51" s="226"/>
      <c r="B51" s="232"/>
      <c r="C51" s="85" t="s">
        <v>59</v>
      </c>
      <c r="D51" s="85">
        <v>0.25</v>
      </c>
      <c r="E51" s="85">
        <v>0.065</v>
      </c>
      <c r="F51" s="85">
        <f>-0.15</f>
        <v>-0.15</v>
      </c>
      <c r="G51" s="85">
        <f t="shared" si="0"/>
        <v>0.33499999999999996</v>
      </c>
      <c r="H51" s="222"/>
      <c r="I51" s="224"/>
      <c r="J51" s="226"/>
    </row>
    <row r="52" spans="1:10" ht="24.75" customHeight="1" thickBot="1">
      <c r="A52" s="225">
        <v>24</v>
      </c>
      <c r="B52" s="231" t="s">
        <v>195</v>
      </c>
      <c r="C52" s="85" t="s">
        <v>60</v>
      </c>
      <c r="D52" s="85">
        <v>0</v>
      </c>
      <c r="E52" s="85">
        <v>0</v>
      </c>
      <c r="F52" s="85">
        <v>0</v>
      </c>
      <c r="G52" s="85">
        <f t="shared" si="0"/>
        <v>0</v>
      </c>
      <c r="H52" s="221" t="s">
        <v>157</v>
      </c>
      <c r="I52" s="223">
        <v>40533</v>
      </c>
      <c r="J52" s="225" t="s">
        <v>171</v>
      </c>
    </row>
    <row r="53" spans="1:10" ht="24.75" customHeight="1" thickBot="1">
      <c r="A53" s="226"/>
      <c r="B53" s="232"/>
      <c r="C53" s="85" t="s">
        <v>59</v>
      </c>
      <c r="D53" s="85">
        <v>0.63</v>
      </c>
      <c r="E53" s="85">
        <v>0.224</v>
      </c>
      <c r="F53" s="85">
        <f>0.005+0.007+0.105+0.015</f>
        <v>0.132</v>
      </c>
      <c r="G53" s="85">
        <f t="shared" si="0"/>
        <v>0.274</v>
      </c>
      <c r="H53" s="222"/>
      <c r="I53" s="224"/>
      <c r="J53" s="226"/>
    </row>
    <row r="54" spans="1:10" ht="24.75" customHeight="1" thickBot="1">
      <c r="A54" s="225">
        <v>25</v>
      </c>
      <c r="B54" s="231" t="s">
        <v>196</v>
      </c>
      <c r="C54" s="85" t="s">
        <v>60</v>
      </c>
      <c r="D54" s="85">
        <v>0</v>
      </c>
      <c r="E54" s="85">
        <v>0</v>
      </c>
      <c r="F54" s="85">
        <v>0</v>
      </c>
      <c r="G54" s="85">
        <f t="shared" si="0"/>
        <v>0</v>
      </c>
      <c r="H54" s="221" t="s">
        <v>157</v>
      </c>
      <c r="I54" s="223">
        <v>40533</v>
      </c>
      <c r="J54" s="225" t="s">
        <v>171</v>
      </c>
    </row>
    <row r="55" spans="1:10" ht="24.75" customHeight="1" thickBot="1">
      <c r="A55" s="226"/>
      <c r="B55" s="232"/>
      <c r="C55" s="85" t="s">
        <v>59</v>
      </c>
      <c r="D55" s="85">
        <v>0.63</v>
      </c>
      <c r="E55" s="85">
        <v>0.221</v>
      </c>
      <c r="F55" s="85">
        <f>0.03+0.015</f>
        <v>0.045</v>
      </c>
      <c r="G55" s="85">
        <f t="shared" si="0"/>
        <v>0.36400000000000005</v>
      </c>
      <c r="H55" s="222"/>
      <c r="I55" s="224"/>
      <c r="J55" s="226"/>
    </row>
    <row r="56" spans="1:10" ht="24.75" customHeight="1" thickBot="1">
      <c r="A56" s="225">
        <v>26</v>
      </c>
      <c r="B56" s="231" t="s">
        <v>197</v>
      </c>
      <c r="C56" s="85" t="s">
        <v>60</v>
      </c>
      <c r="D56" s="85">
        <v>0</v>
      </c>
      <c r="E56" s="85">
        <v>0</v>
      </c>
      <c r="F56" s="85">
        <v>0</v>
      </c>
      <c r="G56" s="85">
        <f t="shared" si="0"/>
        <v>0</v>
      </c>
      <c r="H56" s="221" t="s">
        <v>157</v>
      </c>
      <c r="I56" s="223">
        <v>40533</v>
      </c>
      <c r="J56" s="225" t="s">
        <v>171</v>
      </c>
    </row>
    <row r="57" spans="1:10" ht="24.75" customHeight="1" thickBot="1">
      <c r="A57" s="226"/>
      <c r="B57" s="232"/>
      <c r="C57" s="85" t="s">
        <v>59</v>
      </c>
      <c r="D57" s="85">
        <v>0.25</v>
      </c>
      <c r="E57" s="85">
        <v>0.093</v>
      </c>
      <c r="F57" s="85">
        <v>0.007</v>
      </c>
      <c r="G57" s="85">
        <f t="shared" si="0"/>
        <v>0.15</v>
      </c>
      <c r="H57" s="222"/>
      <c r="I57" s="224"/>
      <c r="J57" s="226"/>
    </row>
    <row r="58" spans="1:10" ht="24.75" customHeight="1" thickBot="1">
      <c r="A58" s="225">
        <v>27</v>
      </c>
      <c r="B58" s="231" t="s">
        <v>198</v>
      </c>
      <c r="C58" s="85" t="s">
        <v>60</v>
      </c>
      <c r="D58" s="85">
        <v>0</v>
      </c>
      <c r="E58" s="85">
        <v>0</v>
      </c>
      <c r="F58" s="85">
        <v>0</v>
      </c>
      <c r="G58" s="85">
        <f t="shared" si="0"/>
        <v>0</v>
      </c>
      <c r="H58" s="221" t="s">
        <v>157</v>
      </c>
      <c r="I58" s="223">
        <v>40533</v>
      </c>
      <c r="J58" s="225" t="s">
        <v>171</v>
      </c>
    </row>
    <row r="59" spans="1:10" ht="24.75" customHeight="1" thickBot="1">
      <c r="A59" s="226"/>
      <c r="B59" s="232"/>
      <c r="C59" s="85" t="s">
        <v>59</v>
      </c>
      <c r="D59" s="85">
        <v>0.4</v>
      </c>
      <c r="E59" s="85">
        <v>0.24</v>
      </c>
      <c r="F59" s="85">
        <f>0.02+0.015+0.015-0.015</f>
        <v>0.035</v>
      </c>
      <c r="G59" s="85">
        <f t="shared" si="0"/>
        <v>0.12500000000000003</v>
      </c>
      <c r="H59" s="222"/>
      <c r="I59" s="224"/>
      <c r="J59" s="226"/>
    </row>
    <row r="60" spans="1:10" ht="24.75" customHeight="1" thickBot="1">
      <c r="A60" s="225">
        <v>28</v>
      </c>
      <c r="B60" s="231" t="s">
        <v>199</v>
      </c>
      <c r="C60" s="85" t="s">
        <v>60</v>
      </c>
      <c r="D60" s="85">
        <v>0</v>
      </c>
      <c r="E60" s="85">
        <v>0</v>
      </c>
      <c r="F60" s="85">
        <v>0</v>
      </c>
      <c r="G60" s="85">
        <f t="shared" si="0"/>
        <v>0</v>
      </c>
      <c r="H60" s="221" t="s">
        <v>157</v>
      </c>
      <c r="I60" s="223">
        <v>40533</v>
      </c>
      <c r="J60" s="225" t="s">
        <v>171</v>
      </c>
    </row>
    <row r="61" spans="1:10" ht="24.75" customHeight="1" thickBot="1">
      <c r="A61" s="226"/>
      <c r="B61" s="232"/>
      <c r="C61" s="85" t="s">
        <v>59</v>
      </c>
      <c r="D61" s="85">
        <v>0.63</v>
      </c>
      <c r="E61" s="85">
        <v>0.539</v>
      </c>
      <c r="F61" s="85">
        <v>0.085</v>
      </c>
      <c r="G61" s="85">
        <f t="shared" si="0"/>
        <v>0.005999999999999964</v>
      </c>
      <c r="H61" s="222"/>
      <c r="I61" s="224"/>
      <c r="J61" s="226"/>
    </row>
    <row r="62" spans="1:10" ht="24.75" customHeight="1" thickBot="1">
      <c r="A62" s="225">
        <v>29</v>
      </c>
      <c r="B62" s="231" t="s">
        <v>200</v>
      </c>
      <c r="C62" s="85" t="s">
        <v>60</v>
      </c>
      <c r="D62" s="85">
        <v>0</v>
      </c>
      <c r="E62" s="85">
        <v>0</v>
      </c>
      <c r="F62" s="85">
        <v>0</v>
      </c>
      <c r="G62" s="85">
        <f t="shared" si="0"/>
        <v>0</v>
      </c>
      <c r="H62" s="221" t="s">
        <v>157</v>
      </c>
      <c r="I62" s="223">
        <v>40533</v>
      </c>
      <c r="J62" s="225" t="s">
        <v>171</v>
      </c>
    </row>
    <row r="63" spans="1:10" ht="24.75" customHeight="1" thickBot="1">
      <c r="A63" s="226"/>
      <c r="B63" s="232"/>
      <c r="C63" s="85" t="s">
        <v>59</v>
      </c>
      <c r="D63" s="85">
        <v>0.4</v>
      </c>
      <c r="E63" s="85">
        <v>0.216</v>
      </c>
      <c r="F63" s="85">
        <v>0</v>
      </c>
      <c r="G63" s="85">
        <f t="shared" si="0"/>
        <v>0.18400000000000002</v>
      </c>
      <c r="H63" s="222"/>
      <c r="I63" s="224"/>
      <c r="J63" s="226"/>
    </row>
    <row r="64" spans="1:10" ht="24.75" customHeight="1" thickBot="1">
      <c r="A64" s="225">
        <v>30</v>
      </c>
      <c r="B64" s="231" t="s">
        <v>201</v>
      </c>
      <c r="C64" s="85" t="s">
        <v>60</v>
      </c>
      <c r="D64" s="85">
        <v>0</v>
      </c>
      <c r="E64" s="85">
        <v>0</v>
      </c>
      <c r="F64" s="85">
        <v>0</v>
      </c>
      <c r="G64" s="85">
        <f t="shared" si="0"/>
        <v>0</v>
      </c>
      <c r="H64" s="221" t="s">
        <v>157</v>
      </c>
      <c r="I64" s="223">
        <v>40533</v>
      </c>
      <c r="J64" s="225" t="s">
        <v>171</v>
      </c>
    </row>
    <row r="65" spans="1:10" ht="24.75" customHeight="1" thickBot="1">
      <c r="A65" s="226"/>
      <c r="B65" s="232"/>
      <c r="C65" s="85" t="s">
        <v>59</v>
      </c>
      <c r="D65" s="85">
        <v>0.25</v>
      </c>
      <c r="E65" s="85">
        <v>0.008</v>
      </c>
      <c r="F65" s="85">
        <v>0</v>
      </c>
      <c r="G65" s="85">
        <f t="shared" si="0"/>
        <v>0.242</v>
      </c>
      <c r="H65" s="222"/>
      <c r="I65" s="224"/>
      <c r="J65" s="226"/>
    </row>
    <row r="66" spans="1:10" ht="24.75" customHeight="1" thickBot="1">
      <c r="A66" s="225">
        <v>31</v>
      </c>
      <c r="B66" s="231" t="s">
        <v>202</v>
      </c>
      <c r="C66" s="85" t="s">
        <v>60</v>
      </c>
      <c r="D66" s="85">
        <v>0</v>
      </c>
      <c r="E66" s="85">
        <v>0</v>
      </c>
      <c r="F66" s="85">
        <v>0</v>
      </c>
      <c r="G66" s="85">
        <f t="shared" si="0"/>
        <v>0</v>
      </c>
      <c r="H66" s="221" t="s">
        <v>157</v>
      </c>
      <c r="I66" s="223">
        <v>40533</v>
      </c>
      <c r="J66" s="225" t="s">
        <v>171</v>
      </c>
    </row>
    <row r="67" spans="1:10" ht="24.75" customHeight="1" thickBot="1">
      <c r="A67" s="226"/>
      <c r="B67" s="232"/>
      <c r="C67" s="85" t="s">
        <v>59</v>
      </c>
      <c r="D67" s="85">
        <v>0.4</v>
      </c>
      <c r="E67" s="85">
        <v>0.194</v>
      </c>
      <c r="F67" s="85">
        <v>0.015</v>
      </c>
      <c r="G67" s="85">
        <f t="shared" si="0"/>
        <v>0.191</v>
      </c>
      <c r="H67" s="222"/>
      <c r="I67" s="224"/>
      <c r="J67" s="226"/>
    </row>
    <row r="68" spans="1:10" ht="24.75" customHeight="1" thickBot="1">
      <c r="A68" s="225">
        <v>32</v>
      </c>
      <c r="B68" s="231" t="s">
        <v>203</v>
      </c>
      <c r="C68" s="85" t="s">
        <v>60</v>
      </c>
      <c r="D68" s="85">
        <v>0</v>
      </c>
      <c r="E68" s="85">
        <v>0</v>
      </c>
      <c r="F68" s="85">
        <v>0</v>
      </c>
      <c r="G68" s="85">
        <f t="shared" si="0"/>
        <v>0</v>
      </c>
      <c r="H68" s="221" t="s">
        <v>157</v>
      </c>
      <c r="I68" s="223">
        <v>40533</v>
      </c>
      <c r="J68" s="225" t="s">
        <v>171</v>
      </c>
    </row>
    <row r="69" spans="1:10" ht="24.75" customHeight="1" thickBot="1">
      <c r="A69" s="226"/>
      <c r="B69" s="232"/>
      <c r="C69" s="85" t="s">
        <v>59</v>
      </c>
      <c r="D69" s="85">
        <v>0.25</v>
      </c>
      <c r="E69" s="85">
        <v>0.027</v>
      </c>
      <c r="F69" s="85">
        <v>0</v>
      </c>
      <c r="G69" s="85">
        <f t="shared" si="0"/>
        <v>0.223</v>
      </c>
      <c r="H69" s="222"/>
      <c r="I69" s="224"/>
      <c r="J69" s="226"/>
    </row>
    <row r="70" spans="1:10" ht="24.75" customHeight="1" thickBot="1">
      <c r="A70" s="225">
        <v>33</v>
      </c>
      <c r="B70" s="231" t="s">
        <v>204</v>
      </c>
      <c r="C70" s="85" t="s">
        <v>60</v>
      </c>
      <c r="D70" s="85">
        <v>0</v>
      </c>
      <c r="E70" s="85">
        <v>0</v>
      </c>
      <c r="F70" s="85">
        <v>0</v>
      </c>
      <c r="G70" s="85">
        <f t="shared" si="0"/>
        <v>0</v>
      </c>
      <c r="H70" s="221" t="s">
        <v>157</v>
      </c>
      <c r="I70" s="223">
        <v>40533</v>
      </c>
      <c r="J70" s="225" t="s">
        <v>171</v>
      </c>
    </row>
    <row r="71" spans="1:10" ht="24.75" customHeight="1" thickBot="1">
      <c r="A71" s="226"/>
      <c r="B71" s="232"/>
      <c r="C71" s="85" t="s">
        <v>59</v>
      </c>
      <c r="D71" s="85">
        <v>0.25</v>
      </c>
      <c r="E71" s="85">
        <v>0.011</v>
      </c>
      <c r="F71" s="85">
        <v>0</v>
      </c>
      <c r="G71" s="85">
        <f t="shared" si="0"/>
        <v>0.239</v>
      </c>
      <c r="H71" s="222"/>
      <c r="I71" s="224"/>
      <c r="J71" s="226"/>
    </row>
    <row r="72" spans="1:10" ht="24.75" customHeight="1" thickBot="1">
      <c r="A72" s="225">
        <v>34</v>
      </c>
      <c r="B72" s="231" t="s">
        <v>205</v>
      </c>
      <c r="C72" s="85" t="s">
        <v>60</v>
      </c>
      <c r="D72" s="85">
        <v>0</v>
      </c>
      <c r="E72" s="85">
        <v>0</v>
      </c>
      <c r="F72" s="85">
        <v>0</v>
      </c>
      <c r="G72" s="85">
        <f t="shared" si="0"/>
        <v>0</v>
      </c>
      <c r="H72" s="221" t="s">
        <v>157</v>
      </c>
      <c r="I72" s="223">
        <v>40533</v>
      </c>
      <c r="J72" s="225" t="s">
        <v>171</v>
      </c>
    </row>
    <row r="73" spans="1:10" ht="24.75" customHeight="1" thickBot="1">
      <c r="A73" s="226"/>
      <c r="B73" s="232"/>
      <c r="C73" s="85" t="s">
        <v>59</v>
      </c>
      <c r="D73" s="85">
        <v>0.4</v>
      </c>
      <c r="E73" s="85">
        <v>0.16</v>
      </c>
      <c r="F73" s="85">
        <v>0.015</v>
      </c>
      <c r="G73" s="85">
        <f aca="true" t="shared" si="1" ref="G73:G109">D73-E73-F73</f>
        <v>0.22500000000000003</v>
      </c>
      <c r="H73" s="222"/>
      <c r="I73" s="224"/>
      <c r="J73" s="226"/>
    </row>
    <row r="74" spans="1:10" ht="24.75" customHeight="1" thickBot="1">
      <c r="A74" s="225">
        <v>35</v>
      </c>
      <c r="B74" s="231" t="s">
        <v>206</v>
      </c>
      <c r="C74" s="85" t="s">
        <v>60</v>
      </c>
      <c r="D74" s="85">
        <v>0</v>
      </c>
      <c r="E74" s="85">
        <v>0</v>
      </c>
      <c r="F74" s="85">
        <v>0</v>
      </c>
      <c r="G74" s="85">
        <f t="shared" si="1"/>
        <v>0</v>
      </c>
      <c r="H74" s="221" t="s">
        <v>157</v>
      </c>
      <c r="I74" s="223">
        <v>40533</v>
      </c>
      <c r="J74" s="225" t="s">
        <v>171</v>
      </c>
    </row>
    <row r="75" spans="1:10" ht="24.75" customHeight="1" thickBot="1">
      <c r="A75" s="226"/>
      <c r="B75" s="232"/>
      <c r="C75" s="85" t="s">
        <v>59</v>
      </c>
      <c r="D75" s="85">
        <f>0.63*2</f>
        <v>1.26</v>
      </c>
      <c r="E75" s="85">
        <v>0.094</v>
      </c>
      <c r="F75" s="85">
        <f>0.03+0.156+0.03</f>
        <v>0.216</v>
      </c>
      <c r="G75" s="85">
        <f t="shared" si="1"/>
        <v>0.95</v>
      </c>
      <c r="H75" s="222"/>
      <c r="I75" s="224"/>
      <c r="J75" s="226"/>
    </row>
    <row r="76" spans="1:10" ht="24.75" customHeight="1" thickBot="1">
      <c r="A76" s="225">
        <v>36</v>
      </c>
      <c r="B76" s="231" t="s">
        <v>207</v>
      </c>
      <c r="C76" s="85" t="s">
        <v>60</v>
      </c>
      <c r="D76" s="85">
        <v>0</v>
      </c>
      <c r="E76" s="85">
        <v>0</v>
      </c>
      <c r="F76" s="85">
        <v>0</v>
      </c>
      <c r="G76" s="85">
        <f t="shared" si="1"/>
        <v>0</v>
      </c>
      <c r="H76" s="221" t="s">
        <v>157</v>
      </c>
      <c r="I76" s="223">
        <v>40533</v>
      </c>
      <c r="J76" s="225" t="s">
        <v>171</v>
      </c>
    </row>
    <row r="77" spans="1:10" ht="24.75" customHeight="1" thickBot="1">
      <c r="A77" s="226"/>
      <c r="B77" s="232"/>
      <c r="C77" s="85" t="s">
        <v>59</v>
      </c>
      <c r="D77" s="85">
        <v>0.4</v>
      </c>
      <c r="E77" s="85">
        <v>0.13</v>
      </c>
      <c r="F77" s="85">
        <v>0.07</v>
      </c>
      <c r="G77" s="85">
        <f t="shared" si="1"/>
        <v>0.2</v>
      </c>
      <c r="H77" s="222"/>
      <c r="I77" s="224"/>
      <c r="J77" s="226"/>
    </row>
    <row r="78" spans="1:10" ht="24.75" customHeight="1" thickBot="1">
      <c r="A78" s="225">
        <v>37</v>
      </c>
      <c r="B78" s="231" t="s">
        <v>208</v>
      </c>
      <c r="C78" s="85" t="s">
        <v>60</v>
      </c>
      <c r="D78" s="85">
        <v>0</v>
      </c>
      <c r="E78" s="85">
        <v>0</v>
      </c>
      <c r="F78" s="85">
        <v>0</v>
      </c>
      <c r="G78" s="85">
        <f t="shared" si="1"/>
        <v>0</v>
      </c>
      <c r="H78" s="221" t="s">
        <v>157</v>
      </c>
      <c r="I78" s="223">
        <v>40533</v>
      </c>
      <c r="J78" s="225" t="s">
        <v>171</v>
      </c>
    </row>
    <row r="79" spans="1:10" ht="24.75" customHeight="1" thickBot="1">
      <c r="A79" s="226"/>
      <c r="B79" s="232"/>
      <c r="C79" s="85" t="s">
        <v>59</v>
      </c>
      <c r="D79" s="85">
        <v>0.25</v>
      </c>
      <c r="E79" s="85">
        <v>0.12</v>
      </c>
      <c r="F79" s="85">
        <v>0.015</v>
      </c>
      <c r="G79" s="85">
        <f t="shared" si="1"/>
        <v>0.115</v>
      </c>
      <c r="H79" s="222"/>
      <c r="I79" s="224"/>
      <c r="J79" s="226"/>
    </row>
    <row r="80" spans="1:10" ht="24.75" customHeight="1" thickBot="1">
      <c r="A80" s="225">
        <v>38</v>
      </c>
      <c r="B80" s="231" t="s">
        <v>209</v>
      </c>
      <c r="C80" s="85" t="s">
        <v>60</v>
      </c>
      <c r="D80" s="85">
        <v>0</v>
      </c>
      <c r="E80" s="85">
        <v>0</v>
      </c>
      <c r="F80" s="85">
        <v>0</v>
      </c>
      <c r="G80" s="85">
        <f t="shared" si="1"/>
        <v>0</v>
      </c>
      <c r="H80" s="221" t="s">
        <v>157</v>
      </c>
      <c r="I80" s="223">
        <v>40533</v>
      </c>
      <c r="J80" s="225" t="s">
        <v>171</v>
      </c>
    </row>
    <row r="81" spans="1:10" ht="24.75" customHeight="1" thickBot="1">
      <c r="A81" s="226"/>
      <c r="B81" s="232"/>
      <c r="C81" s="85" t="s">
        <v>59</v>
      </c>
      <c r="D81" s="85">
        <v>0.63</v>
      </c>
      <c r="E81" s="85">
        <v>0.346</v>
      </c>
      <c r="F81" s="85">
        <f>0.1115+0.049+0.037+0.041+0.015+0.015</f>
        <v>0.2685</v>
      </c>
      <c r="G81" s="85">
        <f t="shared" si="1"/>
        <v>0.015500000000000014</v>
      </c>
      <c r="H81" s="222"/>
      <c r="I81" s="224"/>
      <c r="J81" s="226"/>
    </row>
    <row r="82" spans="1:10" ht="24.75" customHeight="1" thickBot="1">
      <c r="A82" s="225">
        <v>39</v>
      </c>
      <c r="B82" s="231" t="s">
        <v>210</v>
      </c>
      <c r="C82" s="85" t="s">
        <v>60</v>
      </c>
      <c r="D82" s="85">
        <v>0</v>
      </c>
      <c r="E82" s="85">
        <v>0</v>
      </c>
      <c r="F82" s="85">
        <v>0</v>
      </c>
      <c r="G82" s="85">
        <f t="shared" si="1"/>
        <v>0</v>
      </c>
      <c r="H82" s="221" t="s">
        <v>157</v>
      </c>
      <c r="I82" s="223">
        <v>40533</v>
      </c>
      <c r="J82" s="225" t="s">
        <v>171</v>
      </c>
    </row>
    <row r="83" spans="1:10" ht="24.75" customHeight="1" thickBot="1">
      <c r="A83" s="226"/>
      <c r="B83" s="232"/>
      <c r="C83" s="85" t="s">
        <v>59</v>
      </c>
      <c r="D83" s="85">
        <v>0.4</v>
      </c>
      <c r="E83" s="85">
        <v>0.073</v>
      </c>
      <c r="F83" s="85">
        <v>0.015</v>
      </c>
      <c r="G83" s="85">
        <f t="shared" si="1"/>
        <v>0.312</v>
      </c>
      <c r="H83" s="222"/>
      <c r="I83" s="224"/>
      <c r="J83" s="226"/>
    </row>
    <row r="84" spans="1:10" ht="24.75" customHeight="1" thickBot="1">
      <c r="A84" s="225">
        <v>40</v>
      </c>
      <c r="B84" s="231" t="s">
        <v>211</v>
      </c>
      <c r="C84" s="85" t="s">
        <v>60</v>
      </c>
      <c r="D84" s="85">
        <v>0</v>
      </c>
      <c r="E84" s="85">
        <v>0</v>
      </c>
      <c r="F84" s="85">
        <v>0</v>
      </c>
      <c r="G84" s="85">
        <f t="shared" si="1"/>
        <v>0</v>
      </c>
      <c r="H84" s="221" t="s">
        <v>157</v>
      </c>
      <c r="I84" s="223">
        <v>40533</v>
      </c>
      <c r="J84" s="225" t="s">
        <v>171</v>
      </c>
    </row>
    <row r="85" spans="1:10" ht="24.75" customHeight="1" thickBot="1">
      <c r="A85" s="226"/>
      <c r="B85" s="232"/>
      <c r="C85" s="85" t="s">
        <v>59</v>
      </c>
      <c r="D85" s="85">
        <v>0.63</v>
      </c>
      <c r="E85" s="85">
        <v>0.315</v>
      </c>
      <c r="F85" s="85">
        <v>0</v>
      </c>
      <c r="G85" s="85">
        <f t="shared" si="1"/>
        <v>0.315</v>
      </c>
      <c r="H85" s="222"/>
      <c r="I85" s="224"/>
      <c r="J85" s="226"/>
    </row>
    <row r="86" spans="1:10" ht="24.75" customHeight="1" thickBot="1">
      <c r="A86" s="225">
        <v>41</v>
      </c>
      <c r="B86" s="231" t="s">
        <v>212</v>
      </c>
      <c r="C86" s="85" t="s">
        <v>60</v>
      </c>
      <c r="D86" s="85">
        <v>0</v>
      </c>
      <c r="E86" s="85">
        <v>0</v>
      </c>
      <c r="F86" s="85">
        <v>0</v>
      </c>
      <c r="G86" s="85">
        <f t="shared" si="1"/>
        <v>0</v>
      </c>
      <c r="H86" s="221" t="s">
        <v>157</v>
      </c>
      <c r="I86" s="223">
        <v>40533</v>
      </c>
      <c r="J86" s="225" t="s">
        <v>171</v>
      </c>
    </row>
    <row r="87" spans="1:10" ht="24.75" customHeight="1" thickBot="1">
      <c r="A87" s="226"/>
      <c r="B87" s="232"/>
      <c r="C87" s="85" t="s">
        <v>59</v>
      </c>
      <c r="D87" s="85">
        <v>0.63</v>
      </c>
      <c r="E87" s="85">
        <v>0.398</v>
      </c>
      <c r="F87" s="85">
        <v>0</v>
      </c>
      <c r="G87" s="85">
        <f t="shared" si="1"/>
        <v>0.23199999999999998</v>
      </c>
      <c r="H87" s="222"/>
      <c r="I87" s="224"/>
      <c r="J87" s="226"/>
    </row>
    <row r="88" spans="1:10" ht="24.75" customHeight="1" thickBot="1">
      <c r="A88" s="225">
        <v>42</v>
      </c>
      <c r="B88" s="231" t="s">
        <v>213</v>
      </c>
      <c r="C88" s="85" t="s">
        <v>60</v>
      </c>
      <c r="D88" s="85">
        <v>0</v>
      </c>
      <c r="E88" s="85">
        <v>0</v>
      </c>
      <c r="F88" s="85">
        <v>0</v>
      </c>
      <c r="G88" s="85">
        <f t="shared" si="1"/>
        <v>0</v>
      </c>
      <c r="H88" s="221" t="s">
        <v>157</v>
      </c>
      <c r="I88" s="223">
        <v>40533</v>
      </c>
      <c r="J88" s="225" t="s">
        <v>171</v>
      </c>
    </row>
    <row r="89" spans="1:10" ht="24.75" customHeight="1" thickBot="1">
      <c r="A89" s="226"/>
      <c r="B89" s="232"/>
      <c r="C89" s="85" t="s">
        <v>59</v>
      </c>
      <c r="D89" s="85">
        <v>0.63</v>
      </c>
      <c r="E89" s="85">
        <v>0.35</v>
      </c>
      <c r="F89" s="85">
        <f>0.011+0.023+0.015+0.014+0.007-0.015</f>
        <v>0.05500000000000001</v>
      </c>
      <c r="G89" s="85">
        <f t="shared" si="1"/>
        <v>0.22500000000000003</v>
      </c>
      <c r="H89" s="222"/>
      <c r="I89" s="224"/>
      <c r="J89" s="226"/>
    </row>
    <row r="90" spans="1:10" ht="24.75" customHeight="1" thickBot="1">
      <c r="A90" s="225">
        <v>43</v>
      </c>
      <c r="B90" s="231" t="s">
        <v>214</v>
      </c>
      <c r="C90" s="85" t="s">
        <v>60</v>
      </c>
      <c r="D90" s="85">
        <v>0</v>
      </c>
      <c r="E90" s="85">
        <v>0</v>
      </c>
      <c r="F90" s="85">
        <v>0</v>
      </c>
      <c r="G90" s="85">
        <f t="shared" si="1"/>
        <v>0</v>
      </c>
      <c r="H90" s="221" t="s">
        <v>157</v>
      </c>
      <c r="I90" s="223">
        <v>40533</v>
      </c>
      <c r="J90" s="225" t="s">
        <v>171</v>
      </c>
    </row>
    <row r="91" spans="1:10" ht="24.75" customHeight="1" thickBot="1">
      <c r="A91" s="226"/>
      <c r="B91" s="232"/>
      <c r="C91" s="85" t="s">
        <v>59</v>
      </c>
      <c r="D91" s="85">
        <v>0.4</v>
      </c>
      <c r="E91" s="85">
        <v>0.175</v>
      </c>
      <c r="F91" s="85">
        <v>0</v>
      </c>
      <c r="G91" s="85">
        <f t="shared" si="1"/>
        <v>0.22500000000000003</v>
      </c>
      <c r="H91" s="222"/>
      <c r="I91" s="224"/>
      <c r="J91" s="226"/>
    </row>
    <row r="92" spans="1:10" ht="24.75" customHeight="1" thickBot="1">
      <c r="A92" s="225">
        <v>44</v>
      </c>
      <c r="B92" s="231" t="s">
        <v>215</v>
      </c>
      <c r="C92" s="85" t="s">
        <v>60</v>
      </c>
      <c r="D92" s="85">
        <v>0</v>
      </c>
      <c r="E92" s="85">
        <v>0</v>
      </c>
      <c r="F92" s="85">
        <v>0</v>
      </c>
      <c r="G92" s="85">
        <f t="shared" si="1"/>
        <v>0</v>
      </c>
      <c r="H92" s="221" t="s">
        <v>157</v>
      </c>
      <c r="I92" s="223">
        <v>40533</v>
      </c>
      <c r="J92" s="225" t="s">
        <v>171</v>
      </c>
    </row>
    <row r="93" spans="1:10" ht="24.75" customHeight="1" thickBot="1">
      <c r="A93" s="226"/>
      <c r="B93" s="232"/>
      <c r="C93" s="85" t="s">
        <v>59</v>
      </c>
      <c r="D93" s="85">
        <f>0.25*2</f>
        <v>0.5</v>
      </c>
      <c r="E93" s="85">
        <v>0.102</v>
      </c>
      <c r="F93" s="85">
        <f>0.15</f>
        <v>0.15</v>
      </c>
      <c r="G93" s="85">
        <f t="shared" si="1"/>
        <v>0.24800000000000003</v>
      </c>
      <c r="H93" s="222"/>
      <c r="I93" s="224"/>
      <c r="J93" s="226"/>
    </row>
    <row r="94" spans="1:10" ht="24.75" customHeight="1" thickBot="1">
      <c r="A94" s="225">
        <v>45</v>
      </c>
      <c r="B94" s="231" t="s">
        <v>216</v>
      </c>
      <c r="C94" s="85" t="s">
        <v>60</v>
      </c>
      <c r="D94" s="85">
        <v>0</v>
      </c>
      <c r="E94" s="85">
        <v>0</v>
      </c>
      <c r="F94" s="85">
        <v>0</v>
      </c>
      <c r="G94" s="85">
        <f t="shared" si="1"/>
        <v>0</v>
      </c>
      <c r="H94" s="221" t="s">
        <v>157</v>
      </c>
      <c r="I94" s="223">
        <v>40533</v>
      </c>
      <c r="J94" s="225" t="s">
        <v>171</v>
      </c>
    </row>
    <row r="95" spans="1:10" ht="24.75" customHeight="1" thickBot="1">
      <c r="A95" s="226"/>
      <c r="B95" s="232"/>
      <c r="C95" s="85" t="s">
        <v>59</v>
      </c>
      <c r="D95" s="85">
        <v>0.63</v>
      </c>
      <c r="E95" s="85">
        <v>0.157</v>
      </c>
      <c r="F95" s="85">
        <v>0</v>
      </c>
      <c r="G95" s="85">
        <f t="shared" si="1"/>
        <v>0.473</v>
      </c>
      <c r="H95" s="222"/>
      <c r="I95" s="224"/>
      <c r="J95" s="226"/>
    </row>
    <row r="96" spans="1:10" ht="24.75" customHeight="1" thickBot="1">
      <c r="A96" s="225">
        <v>46</v>
      </c>
      <c r="B96" s="231" t="s">
        <v>217</v>
      </c>
      <c r="C96" s="85" t="s">
        <v>60</v>
      </c>
      <c r="D96" s="85">
        <v>0</v>
      </c>
      <c r="E96" s="85">
        <v>0</v>
      </c>
      <c r="F96" s="85">
        <v>0</v>
      </c>
      <c r="G96" s="85">
        <f t="shared" si="1"/>
        <v>0</v>
      </c>
      <c r="H96" s="221" t="s">
        <v>157</v>
      </c>
      <c r="I96" s="223">
        <v>40533</v>
      </c>
      <c r="J96" s="225" t="s">
        <v>171</v>
      </c>
    </row>
    <row r="97" spans="1:10" ht="24.75" customHeight="1" thickBot="1">
      <c r="A97" s="226"/>
      <c r="B97" s="232"/>
      <c r="C97" s="85" t="s">
        <v>59</v>
      </c>
      <c r="D97" s="85">
        <v>0.16</v>
      </c>
      <c r="E97" s="85">
        <v>0.05</v>
      </c>
      <c r="F97" s="85">
        <f>0.01+0.02+0.022-0.003</f>
        <v>0.048999999999999995</v>
      </c>
      <c r="G97" s="85">
        <f t="shared" si="1"/>
        <v>0.061000000000000006</v>
      </c>
      <c r="H97" s="222"/>
      <c r="I97" s="224"/>
      <c r="J97" s="226"/>
    </row>
    <row r="98" spans="1:10" ht="24.75" customHeight="1" thickBot="1">
      <c r="A98" s="225">
        <v>47</v>
      </c>
      <c r="B98" s="231" t="s">
        <v>218</v>
      </c>
      <c r="C98" s="85" t="s">
        <v>60</v>
      </c>
      <c r="D98" s="85">
        <v>0</v>
      </c>
      <c r="E98" s="85">
        <v>0</v>
      </c>
      <c r="F98" s="85">
        <v>0</v>
      </c>
      <c r="G98" s="85">
        <f t="shared" si="1"/>
        <v>0</v>
      </c>
      <c r="H98" s="221" t="s">
        <v>157</v>
      </c>
      <c r="I98" s="223">
        <v>40533</v>
      </c>
      <c r="J98" s="225" t="s">
        <v>171</v>
      </c>
    </row>
    <row r="99" spans="1:10" ht="24.75" customHeight="1" thickBot="1">
      <c r="A99" s="226"/>
      <c r="B99" s="232"/>
      <c r="C99" s="85" t="s">
        <v>59</v>
      </c>
      <c r="D99" s="85">
        <v>0.25</v>
      </c>
      <c r="E99" s="85">
        <v>0.086</v>
      </c>
      <c r="F99" s="85">
        <v>0</v>
      </c>
      <c r="G99" s="85">
        <f t="shared" si="1"/>
        <v>0.164</v>
      </c>
      <c r="H99" s="222"/>
      <c r="I99" s="224"/>
      <c r="J99" s="226"/>
    </row>
    <row r="100" spans="1:10" ht="24.75" customHeight="1" thickBot="1">
      <c r="A100" s="225">
        <v>48</v>
      </c>
      <c r="B100" s="231" t="s">
        <v>219</v>
      </c>
      <c r="C100" s="85" t="s">
        <v>60</v>
      </c>
      <c r="D100" s="85">
        <v>0</v>
      </c>
      <c r="E100" s="85">
        <v>0</v>
      </c>
      <c r="F100" s="85">
        <v>0</v>
      </c>
      <c r="G100" s="85">
        <f t="shared" si="1"/>
        <v>0</v>
      </c>
      <c r="H100" s="221" t="s">
        <v>157</v>
      </c>
      <c r="I100" s="223">
        <v>40533</v>
      </c>
      <c r="J100" s="225" t="s">
        <v>171</v>
      </c>
    </row>
    <row r="101" spans="1:10" ht="24.75" customHeight="1" thickBot="1">
      <c r="A101" s="226"/>
      <c r="B101" s="232"/>
      <c r="C101" s="85" t="s">
        <v>59</v>
      </c>
      <c r="D101" s="85">
        <v>0.25</v>
      </c>
      <c r="E101" s="85">
        <v>0.028</v>
      </c>
      <c r="F101" s="85">
        <v>0</v>
      </c>
      <c r="G101" s="85">
        <f t="shared" si="1"/>
        <v>0.222</v>
      </c>
      <c r="H101" s="222"/>
      <c r="I101" s="224"/>
      <c r="J101" s="226"/>
    </row>
    <row r="102" spans="1:10" ht="24.75" customHeight="1" thickBot="1">
      <c r="A102" s="225">
        <v>49</v>
      </c>
      <c r="B102" s="231" t="s">
        <v>220</v>
      </c>
      <c r="C102" s="85" t="s">
        <v>60</v>
      </c>
      <c r="D102" s="85">
        <v>0</v>
      </c>
      <c r="E102" s="85">
        <v>0</v>
      </c>
      <c r="F102" s="85">
        <v>0</v>
      </c>
      <c r="G102" s="85">
        <f t="shared" si="1"/>
        <v>0</v>
      </c>
      <c r="H102" s="221" t="s">
        <v>157</v>
      </c>
      <c r="I102" s="223">
        <v>40533</v>
      </c>
      <c r="J102" s="225" t="s">
        <v>171</v>
      </c>
    </row>
    <row r="103" spans="1:10" ht="24.75" customHeight="1" thickBot="1">
      <c r="A103" s="226"/>
      <c r="B103" s="232"/>
      <c r="C103" s="85" t="s">
        <v>59</v>
      </c>
      <c r="D103" s="85">
        <v>0.63</v>
      </c>
      <c r="E103" s="85">
        <v>0.086</v>
      </c>
      <c r="F103" s="85">
        <v>0</v>
      </c>
      <c r="G103" s="85">
        <f t="shared" si="1"/>
        <v>0.544</v>
      </c>
      <c r="H103" s="222"/>
      <c r="I103" s="224"/>
      <c r="J103" s="226"/>
    </row>
    <row r="104" spans="1:10" ht="24.75" customHeight="1" thickBot="1">
      <c r="A104" s="225">
        <v>50</v>
      </c>
      <c r="B104" s="231" t="s">
        <v>221</v>
      </c>
      <c r="C104" s="85" t="s">
        <v>60</v>
      </c>
      <c r="D104" s="85">
        <v>0</v>
      </c>
      <c r="E104" s="85">
        <v>0</v>
      </c>
      <c r="F104" s="85">
        <v>0</v>
      </c>
      <c r="G104" s="85">
        <f t="shared" si="1"/>
        <v>0</v>
      </c>
      <c r="H104" s="221" t="s">
        <v>157</v>
      </c>
      <c r="I104" s="223">
        <v>40533</v>
      </c>
      <c r="J104" s="225" t="s">
        <v>171</v>
      </c>
    </row>
    <row r="105" spans="1:10" ht="24.75" customHeight="1" thickBot="1">
      <c r="A105" s="226"/>
      <c r="B105" s="232"/>
      <c r="C105" s="85" t="s">
        <v>59</v>
      </c>
      <c r="D105" s="85">
        <v>0.63</v>
      </c>
      <c r="E105" s="85">
        <v>0.319</v>
      </c>
      <c r="F105" s="85">
        <v>0</v>
      </c>
      <c r="G105" s="85">
        <f t="shared" si="1"/>
        <v>0.311</v>
      </c>
      <c r="H105" s="222"/>
      <c r="I105" s="224"/>
      <c r="J105" s="226"/>
    </row>
    <row r="106" spans="1:10" ht="24.75" customHeight="1" thickBot="1">
      <c r="A106" s="225">
        <v>51</v>
      </c>
      <c r="B106" s="231" t="s">
        <v>222</v>
      </c>
      <c r="C106" s="85" t="s">
        <v>60</v>
      </c>
      <c r="D106" s="85">
        <v>0</v>
      </c>
      <c r="E106" s="85">
        <v>0</v>
      </c>
      <c r="F106" s="85">
        <v>0</v>
      </c>
      <c r="G106" s="85">
        <f t="shared" si="1"/>
        <v>0</v>
      </c>
      <c r="H106" s="221" t="s">
        <v>157</v>
      </c>
      <c r="I106" s="223">
        <v>40533</v>
      </c>
      <c r="J106" s="225" t="s">
        <v>171</v>
      </c>
    </row>
    <row r="107" spans="1:10" ht="24.75" customHeight="1" thickBot="1">
      <c r="A107" s="226"/>
      <c r="B107" s="232"/>
      <c r="C107" s="85" t="s">
        <v>59</v>
      </c>
      <c r="D107" s="85">
        <v>0.4</v>
      </c>
      <c r="E107" s="85">
        <v>0.195</v>
      </c>
      <c r="F107" s="85">
        <v>0</v>
      </c>
      <c r="G107" s="85">
        <f t="shared" si="1"/>
        <v>0.20500000000000002</v>
      </c>
      <c r="H107" s="222"/>
      <c r="I107" s="224"/>
      <c r="J107" s="226"/>
    </row>
    <row r="108" spans="1:10" ht="24.75" customHeight="1" thickBot="1">
      <c r="A108" s="225">
        <v>52</v>
      </c>
      <c r="B108" s="231" t="s">
        <v>223</v>
      </c>
      <c r="C108" s="85" t="s">
        <v>60</v>
      </c>
      <c r="D108" s="85">
        <v>0</v>
      </c>
      <c r="E108" s="85">
        <v>0</v>
      </c>
      <c r="F108" s="85">
        <v>0</v>
      </c>
      <c r="G108" s="85">
        <f t="shared" si="1"/>
        <v>0</v>
      </c>
      <c r="H108" s="221" t="s">
        <v>157</v>
      </c>
      <c r="I108" s="223">
        <v>40533</v>
      </c>
      <c r="J108" s="225" t="s">
        <v>171</v>
      </c>
    </row>
    <row r="109" spans="1:10" ht="24.75" customHeight="1" thickBot="1">
      <c r="A109" s="226"/>
      <c r="B109" s="232"/>
      <c r="C109" s="85" t="s">
        <v>59</v>
      </c>
      <c r="D109" s="85">
        <v>0.16</v>
      </c>
      <c r="E109" s="85">
        <v>0.021</v>
      </c>
      <c r="F109" s="85">
        <v>0</v>
      </c>
      <c r="G109" s="85">
        <f t="shared" si="1"/>
        <v>0.139</v>
      </c>
      <c r="H109" s="222"/>
      <c r="I109" s="224"/>
      <c r="J109" s="226"/>
    </row>
    <row r="110" spans="1:10" ht="24.75" customHeight="1" thickBot="1">
      <c r="A110" s="225">
        <v>53</v>
      </c>
      <c r="B110" s="231" t="s">
        <v>224</v>
      </c>
      <c r="C110" s="85" t="s">
        <v>60</v>
      </c>
      <c r="D110" s="85">
        <v>0</v>
      </c>
      <c r="E110" s="85">
        <v>0</v>
      </c>
      <c r="F110" s="85">
        <v>0</v>
      </c>
      <c r="G110" s="85">
        <v>0</v>
      </c>
      <c r="H110" s="221" t="s">
        <v>157</v>
      </c>
      <c r="I110" s="223">
        <v>40533</v>
      </c>
      <c r="J110" s="225" t="s">
        <v>171</v>
      </c>
    </row>
    <row r="111" spans="1:10" ht="24.75" customHeight="1" thickBot="1">
      <c r="A111" s="226"/>
      <c r="B111" s="232"/>
      <c r="C111" s="85" t="s">
        <v>59</v>
      </c>
      <c r="D111" s="85">
        <v>0.16</v>
      </c>
      <c r="E111" s="85">
        <v>0</v>
      </c>
      <c r="F111" s="85">
        <v>0</v>
      </c>
      <c r="G111" s="85">
        <f>D111-E111-F111</f>
        <v>0.16</v>
      </c>
      <c r="H111" s="222"/>
      <c r="I111" s="224"/>
      <c r="J111" s="226"/>
    </row>
    <row r="112" spans="1:10" ht="24.75" customHeight="1" thickBot="1">
      <c r="A112" s="225">
        <v>54</v>
      </c>
      <c r="B112" s="231" t="s">
        <v>225</v>
      </c>
      <c r="C112" s="85" t="s">
        <v>60</v>
      </c>
      <c r="D112" s="85">
        <v>0</v>
      </c>
      <c r="E112" s="85">
        <v>0</v>
      </c>
      <c r="F112" s="85">
        <v>0</v>
      </c>
      <c r="G112" s="87">
        <v>0</v>
      </c>
      <c r="H112" s="221" t="s">
        <v>157</v>
      </c>
      <c r="I112" s="223">
        <v>40533</v>
      </c>
      <c r="J112" s="225" t="s">
        <v>171</v>
      </c>
    </row>
    <row r="113" spans="1:10" ht="24.75" customHeight="1" thickBot="1">
      <c r="A113" s="226"/>
      <c r="B113" s="232"/>
      <c r="C113" s="85" t="s">
        <v>59</v>
      </c>
      <c r="D113" s="85">
        <v>0.4</v>
      </c>
      <c r="E113" s="85">
        <v>0.18</v>
      </c>
      <c r="F113" s="85">
        <v>0</v>
      </c>
      <c r="G113" s="87">
        <f>D113-E113-F113</f>
        <v>0.22000000000000003</v>
      </c>
      <c r="H113" s="222"/>
      <c r="I113" s="224"/>
      <c r="J113" s="226"/>
    </row>
    <row r="114" spans="1:10" ht="24.75" customHeight="1" thickBot="1">
      <c r="A114" s="225">
        <v>55</v>
      </c>
      <c r="B114" s="231" t="s">
        <v>226</v>
      </c>
      <c r="C114" s="85" t="s">
        <v>60</v>
      </c>
      <c r="D114" s="85">
        <v>0</v>
      </c>
      <c r="E114" s="85">
        <v>0</v>
      </c>
      <c r="F114" s="85">
        <v>0</v>
      </c>
      <c r="G114" s="87">
        <f aca="true" t="shared" si="2" ref="G114:G124">D114-E114-F114</f>
        <v>0</v>
      </c>
      <c r="H114" s="221" t="s">
        <v>157</v>
      </c>
      <c r="I114" s="223">
        <v>40533</v>
      </c>
      <c r="J114" s="225" t="s">
        <v>171</v>
      </c>
    </row>
    <row r="115" spans="1:10" ht="24.75" customHeight="1" thickBot="1">
      <c r="A115" s="226"/>
      <c r="B115" s="232"/>
      <c r="C115" s="85" t="s">
        <v>59</v>
      </c>
      <c r="D115" s="85">
        <v>0.4</v>
      </c>
      <c r="E115" s="85">
        <v>0.279</v>
      </c>
      <c r="F115" s="85">
        <v>0</v>
      </c>
      <c r="G115" s="87">
        <f t="shared" si="2"/>
        <v>0.121</v>
      </c>
      <c r="H115" s="222"/>
      <c r="I115" s="224"/>
      <c r="J115" s="226"/>
    </row>
    <row r="116" spans="1:10" ht="24.75" customHeight="1" thickBot="1">
      <c r="A116" s="225">
        <v>56</v>
      </c>
      <c r="B116" s="231" t="s">
        <v>227</v>
      </c>
      <c r="C116" s="85" t="s">
        <v>60</v>
      </c>
      <c r="D116" s="85">
        <v>0</v>
      </c>
      <c r="E116" s="85">
        <v>0</v>
      </c>
      <c r="F116" s="85">
        <v>0</v>
      </c>
      <c r="G116" s="87">
        <f t="shared" si="2"/>
        <v>0</v>
      </c>
      <c r="H116" s="221" t="s">
        <v>157</v>
      </c>
      <c r="I116" s="223">
        <v>40533</v>
      </c>
      <c r="J116" s="225" t="s">
        <v>171</v>
      </c>
    </row>
    <row r="117" spans="1:10" ht="24.75" customHeight="1" thickBot="1">
      <c r="A117" s="226"/>
      <c r="B117" s="232"/>
      <c r="C117" s="85" t="s">
        <v>59</v>
      </c>
      <c r="D117" s="85">
        <v>0.63</v>
      </c>
      <c r="E117" s="85">
        <v>0.096</v>
      </c>
      <c r="F117" s="85">
        <v>0</v>
      </c>
      <c r="G117" s="87">
        <f t="shared" si="2"/>
        <v>0.534</v>
      </c>
      <c r="H117" s="222"/>
      <c r="I117" s="224"/>
      <c r="J117" s="226"/>
    </row>
    <row r="118" spans="1:10" ht="24.75" customHeight="1" thickBot="1">
      <c r="A118" s="225">
        <v>57</v>
      </c>
      <c r="B118" s="231" t="s">
        <v>228</v>
      </c>
      <c r="C118" s="85" t="s">
        <v>60</v>
      </c>
      <c r="D118" s="85">
        <v>0</v>
      </c>
      <c r="E118" s="85">
        <v>0</v>
      </c>
      <c r="F118" s="85">
        <v>0</v>
      </c>
      <c r="G118" s="87">
        <f t="shared" si="2"/>
        <v>0</v>
      </c>
      <c r="H118" s="221" t="s">
        <v>157</v>
      </c>
      <c r="I118" s="223">
        <v>40533</v>
      </c>
      <c r="J118" s="225" t="s">
        <v>171</v>
      </c>
    </row>
    <row r="119" spans="1:10" ht="24.75" customHeight="1" thickBot="1">
      <c r="A119" s="226"/>
      <c r="B119" s="232"/>
      <c r="C119" s="85" t="s">
        <v>59</v>
      </c>
      <c r="D119" s="85">
        <v>0.63</v>
      </c>
      <c r="E119" s="85">
        <v>0.14</v>
      </c>
      <c r="F119" s="85">
        <v>0</v>
      </c>
      <c r="G119" s="87">
        <f t="shared" si="2"/>
        <v>0.49</v>
      </c>
      <c r="H119" s="222"/>
      <c r="I119" s="224"/>
      <c r="J119" s="226"/>
    </row>
    <row r="120" spans="1:10" ht="24.75" customHeight="1" thickBot="1">
      <c r="A120" s="225">
        <v>58</v>
      </c>
      <c r="B120" s="231" t="s">
        <v>229</v>
      </c>
      <c r="C120" s="85" t="s">
        <v>60</v>
      </c>
      <c r="D120" s="85">
        <v>0</v>
      </c>
      <c r="E120" s="85">
        <v>0</v>
      </c>
      <c r="F120" s="85">
        <v>0</v>
      </c>
      <c r="G120" s="87">
        <f t="shared" si="2"/>
        <v>0</v>
      </c>
      <c r="H120" s="221" t="s">
        <v>157</v>
      </c>
      <c r="I120" s="223">
        <v>40533</v>
      </c>
      <c r="J120" s="225" t="s">
        <v>171</v>
      </c>
    </row>
    <row r="121" spans="1:10" ht="24.75" customHeight="1" thickBot="1">
      <c r="A121" s="226"/>
      <c r="B121" s="232"/>
      <c r="C121" s="85" t="s">
        <v>59</v>
      </c>
      <c r="D121" s="85">
        <v>0.63</v>
      </c>
      <c r="E121" s="85">
        <v>0.15</v>
      </c>
      <c r="F121" s="85">
        <f>0.015+0.04+0.015</f>
        <v>0.07</v>
      </c>
      <c r="G121" s="87">
        <f t="shared" si="2"/>
        <v>0.41</v>
      </c>
      <c r="H121" s="222"/>
      <c r="I121" s="224"/>
      <c r="J121" s="226"/>
    </row>
    <row r="122" spans="1:10" ht="24.75" customHeight="1" thickBot="1">
      <c r="A122" s="225">
        <v>59</v>
      </c>
      <c r="B122" s="231" t="s">
        <v>230</v>
      </c>
      <c r="C122" s="85" t="s">
        <v>60</v>
      </c>
      <c r="D122" s="85">
        <v>0</v>
      </c>
      <c r="E122" s="85">
        <v>0</v>
      </c>
      <c r="F122" s="85">
        <v>0</v>
      </c>
      <c r="G122" s="87">
        <f t="shared" si="2"/>
        <v>0</v>
      </c>
      <c r="H122" s="221" t="s">
        <v>157</v>
      </c>
      <c r="I122" s="223">
        <v>40533</v>
      </c>
      <c r="J122" s="225" t="s">
        <v>171</v>
      </c>
    </row>
    <row r="123" spans="1:10" ht="24.75" customHeight="1" thickBot="1">
      <c r="A123" s="226"/>
      <c r="B123" s="232"/>
      <c r="C123" s="85" t="s">
        <v>59</v>
      </c>
      <c r="D123" s="85">
        <v>1</v>
      </c>
      <c r="E123" s="85">
        <v>0.315</v>
      </c>
      <c r="F123" s="85">
        <v>0</v>
      </c>
      <c r="G123" s="87">
        <f t="shared" si="2"/>
        <v>0.685</v>
      </c>
      <c r="H123" s="222"/>
      <c r="I123" s="224"/>
      <c r="J123" s="226"/>
    </row>
    <row r="124" spans="1:10" ht="24.75" customHeight="1" thickBot="1">
      <c r="A124" s="225">
        <v>60</v>
      </c>
      <c r="B124" s="231" t="s">
        <v>231</v>
      </c>
      <c r="C124" s="85" t="s">
        <v>60</v>
      </c>
      <c r="D124" s="85">
        <v>0</v>
      </c>
      <c r="E124" s="85">
        <v>0</v>
      </c>
      <c r="F124" s="85">
        <v>0</v>
      </c>
      <c r="G124" s="87">
        <f t="shared" si="2"/>
        <v>0</v>
      </c>
      <c r="H124" s="221" t="s">
        <v>157</v>
      </c>
      <c r="I124" s="223">
        <v>40533</v>
      </c>
      <c r="J124" s="225" t="s">
        <v>171</v>
      </c>
    </row>
    <row r="125" spans="1:10" ht="24.75" customHeight="1" thickBot="1">
      <c r="A125" s="226"/>
      <c r="B125" s="232"/>
      <c r="C125" s="85" t="s">
        <v>59</v>
      </c>
      <c r="D125" s="85">
        <v>1</v>
      </c>
      <c r="E125" s="85">
        <v>0.05</v>
      </c>
      <c r="F125" s="85">
        <f>0.1155</f>
        <v>0.1155</v>
      </c>
      <c r="G125" s="87">
        <f>D125-E125-F125</f>
        <v>0.8344999999999999</v>
      </c>
      <c r="H125" s="222"/>
      <c r="I125" s="224"/>
      <c r="J125" s="226"/>
    </row>
  </sheetData>
  <sheetProtection/>
  <mergeCells count="310">
    <mergeCell ref="J122:J123"/>
    <mergeCell ref="A120:A121"/>
    <mergeCell ref="B120:B121"/>
    <mergeCell ref="A122:A123"/>
    <mergeCell ref="B122:B123"/>
    <mergeCell ref="H122:H123"/>
    <mergeCell ref="I122:I123"/>
    <mergeCell ref="A1:J1"/>
    <mergeCell ref="A2:J2"/>
    <mergeCell ref="A3:J3"/>
    <mergeCell ref="A124:A125"/>
    <mergeCell ref="B124:B125"/>
    <mergeCell ref="H124:H125"/>
    <mergeCell ref="I124:I125"/>
    <mergeCell ref="J124:J125"/>
    <mergeCell ref="A118:A119"/>
    <mergeCell ref="B118:B119"/>
    <mergeCell ref="H118:H119"/>
    <mergeCell ref="I118:I119"/>
    <mergeCell ref="J118:J119"/>
    <mergeCell ref="H120:H121"/>
    <mergeCell ref="I120:I121"/>
    <mergeCell ref="J120:J121"/>
    <mergeCell ref="A114:A115"/>
    <mergeCell ref="B114:B115"/>
    <mergeCell ref="H114:H115"/>
    <mergeCell ref="I114:I115"/>
    <mergeCell ref="J114:J115"/>
    <mergeCell ref="A116:A117"/>
    <mergeCell ref="B116:B117"/>
    <mergeCell ref="H116:H117"/>
    <mergeCell ref="I116:I117"/>
    <mergeCell ref="J116:J117"/>
    <mergeCell ref="A110:A111"/>
    <mergeCell ref="B110:B111"/>
    <mergeCell ref="H110:H111"/>
    <mergeCell ref="I110:I111"/>
    <mergeCell ref="J110:J111"/>
    <mergeCell ref="A112:A113"/>
    <mergeCell ref="B112:B113"/>
    <mergeCell ref="H112:H113"/>
    <mergeCell ref="I112:I113"/>
    <mergeCell ref="J112:J113"/>
    <mergeCell ref="A106:A107"/>
    <mergeCell ref="B106:B107"/>
    <mergeCell ref="H106:H107"/>
    <mergeCell ref="I106:I107"/>
    <mergeCell ref="J106:J107"/>
    <mergeCell ref="A108:A109"/>
    <mergeCell ref="B108:B109"/>
    <mergeCell ref="H108:H109"/>
    <mergeCell ref="I108:I109"/>
    <mergeCell ref="J108:J109"/>
    <mergeCell ref="A102:A103"/>
    <mergeCell ref="B102:B103"/>
    <mergeCell ref="H102:H103"/>
    <mergeCell ref="I102:I103"/>
    <mergeCell ref="J102:J103"/>
    <mergeCell ref="A104:A105"/>
    <mergeCell ref="B104:B105"/>
    <mergeCell ref="H104:H105"/>
    <mergeCell ref="I104:I105"/>
    <mergeCell ref="J104:J105"/>
    <mergeCell ref="A98:A99"/>
    <mergeCell ref="B98:B99"/>
    <mergeCell ref="H98:H99"/>
    <mergeCell ref="I98:I99"/>
    <mergeCell ref="J98:J99"/>
    <mergeCell ref="A100:A101"/>
    <mergeCell ref="B100:B101"/>
    <mergeCell ref="H100:H101"/>
    <mergeCell ref="I100:I101"/>
    <mergeCell ref="J100:J101"/>
    <mergeCell ref="A94:A95"/>
    <mergeCell ref="B94:B95"/>
    <mergeCell ref="H94:H95"/>
    <mergeCell ref="I94:I95"/>
    <mergeCell ref="J94:J95"/>
    <mergeCell ref="A96:A97"/>
    <mergeCell ref="B96:B97"/>
    <mergeCell ref="H96:H97"/>
    <mergeCell ref="I96:I97"/>
    <mergeCell ref="J96:J97"/>
    <mergeCell ref="A90:A91"/>
    <mergeCell ref="B90:B91"/>
    <mergeCell ref="H90:H91"/>
    <mergeCell ref="I90:I91"/>
    <mergeCell ref="J90:J91"/>
    <mergeCell ref="A92:A93"/>
    <mergeCell ref="B92:B93"/>
    <mergeCell ref="H92:H93"/>
    <mergeCell ref="I92:I93"/>
    <mergeCell ref="J92:J93"/>
    <mergeCell ref="A86:A87"/>
    <mergeCell ref="B86:B87"/>
    <mergeCell ref="H86:H87"/>
    <mergeCell ref="I86:I87"/>
    <mergeCell ref="J86:J87"/>
    <mergeCell ref="A88:A89"/>
    <mergeCell ref="B88:B89"/>
    <mergeCell ref="H88:H89"/>
    <mergeCell ref="I88:I89"/>
    <mergeCell ref="J88:J89"/>
    <mergeCell ref="A82:A83"/>
    <mergeCell ref="B82:B83"/>
    <mergeCell ref="H82:H83"/>
    <mergeCell ref="I82:I83"/>
    <mergeCell ref="J82:J83"/>
    <mergeCell ref="A84:A85"/>
    <mergeCell ref="B84:B85"/>
    <mergeCell ref="H84:H85"/>
    <mergeCell ref="I84:I85"/>
    <mergeCell ref="J84:J85"/>
    <mergeCell ref="A78:A79"/>
    <mergeCell ref="B78:B79"/>
    <mergeCell ref="H78:H79"/>
    <mergeCell ref="I78:I79"/>
    <mergeCell ref="J78:J79"/>
    <mergeCell ref="A80:A81"/>
    <mergeCell ref="B80:B81"/>
    <mergeCell ref="H80:H81"/>
    <mergeCell ref="I80:I81"/>
    <mergeCell ref="J80:J81"/>
    <mergeCell ref="A74:A75"/>
    <mergeCell ref="B74:B75"/>
    <mergeCell ref="H74:H75"/>
    <mergeCell ref="I74:I75"/>
    <mergeCell ref="J74:J75"/>
    <mergeCell ref="A76:A77"/>
    <mergeCell ref="B76:B77"/>
    <mergeCell ref="H76:H77"/>
    <mergeCell ref="I76:I77"/>
    <mergeCell ref="J76:J77"/>
    <mergeCell ref="A70:A71"/>
    <mergeCell ref="B70:B71"/>
    <mergeCell ref="H70:H71"/>
    <mergeCell ref="I70:I71"/>
    <mergeCell ref="J70:J71"/>
    <mergeCell ref="A72:A73"/>
    <mergeCell ref="B72:B73"/>
    <mergeCell ref="H72:H73"/>
    <mergeCell ref="I72:I73"/>
    <mergeCell ref="J72:J73"/>
    <mergeCell ref="A66:A67"/>
    <mergeCell ref="B66:B67"/>
    <mergeCell ref="H66:H67"/>
    <mergeCell ref="I66:I67"/>
    <mergeCell ref="J66:J67"/>
    <mergeCell ref="A68:A69"/>
    <mergeCell ref="B68:B69"/>
    <mergeCell ref="H68:H69"/>
    <mergeCell ref="I68:I69"/>
    <mergeCell ref="J68:J69"/>
    <mergeCell ref="A62:A63"/>
    <mergeCell ref="B62:B63"/>
    <mergeCell ref="H62:H63"/>
    <mergeCell ref="I62:I63"/>
    <mergeCell ref="J62:J63"/>
    <mergeCell ref="A64:A65"/>
    <mergeCell ref="B64:B65"/>
    <mergeCell ref="H64:H65"/>
    <mergeCell ref="I64:I65"/>
    <mergeCell ref="J64:J65"/>
    <mergeCell ref="A58:A59"/>
    <mergeCell ref="B58:B59"/>
    <mergeCell ref="H58:H59"/>
    <mergeCell ref="I58:I59"/>
    <mergeCell ref="J58:J59"/>
    <mergeCell ref="A60:A61"/>
    <mergeCell ref="B60:B61"/>
    <mergeCell ref="H60:H61"/>
    <mergeCell ref="I60:I61"/>
    <mergeCell ref="J60:J61"/>
    <mergeCell ref="A54:A55"/>
    <mergeCell ref="B54:B55"/>
    <mergeCell ref="H54:H55"/>
    <mergeCell ref="I54:I55"/>
    <mergeCell ref="J54:J55"/>
    <mergeCell ref="A56:A57"/>
    <mergeCell ref="B56:B57"/>
    <mergeCell ref="H56:H57"/>
    <mergeCell ref="I56:I57"/>
    <mergeCell ref="J56:J57"/>
    <mergeCell ref="A50:A51"/>
    <mergeCell ref="B50:B51"/>
    <mergeCell ref="H50:H51"/>
    <mergeCell ref="I50:I51"/>
    <mergeCell ref="J50:J51"/>
    <mergeCell ref="A52:A53"/>
    <mergeCell ref="B52:B53"/>
    <mergeCell ref="H52:H53"/>
    <mergeCell ref="I52:I53"/>
    <mergeCell ref="J52:J53"/>
    <mergeCell ref="A46:A47"/>
    <mergeCell ref="B46:B47"/>
    <mergeCell ref="H46:H47"/>
    <mergeCell ref="I46:I47"/>
    <mergeCell ref="J46:J47"/>
    <mergeCell ref="A48:A49"/>
    <mergeCell ref="B48:B49"/>
    <mergeCell ref="H48:H49"/>
    <mergeCell ref="I48:I49"/>
    <mergeCell ref="J48:J49"/>
    <mergeCell ref="A42:A43"/>
    <mergeCell ref="B42:B43"/>
    <mergeCell ref="H42:H43"/>
    <mergeCell ref="I42:I43"/>
    <mergeCell ref="J42:J43"/>
    <mergeCell ref="A44:A45"/>
    <mergeCell ref="B44:B45"/>
    <mergeCell ref="H44:H45"/>
    <mergeCell ref="I44:I45"/>
    <mergeCell ref="J44:J45"/>
    <mergeCell ref="A38:A39"/>
    <mergeCell ref="B38:B39"/>
    <mergeCell ref="H38:H39"/>
    <mergeCell ref="I38:I39"/>
    <mergeCell ref="J38:J39"/>
    <mergeCell ref="A40:A41"/>
    <mergeCell ref="B40:B41"/>
    <mergeCell ref="H40:H41"/>
    <mergeCell ref="I40:I41"/>
    <mergeCell ref="J40:J41"/>
    <mergeCell ref="A34:A35"/>
    <mergeCell ref="B34:B35"/>
    <mergeCell ref="H34:H35"/>
    <mergeCell ref="I34:I35"/>
    <mergeCell ref="J34:J35"/>
    <mergeCell ref="A36:A37"/>
    <mergeCell ref="B36:B37"/>
    <mergeCell ref="H36:H37"/>
    <mergeCell ref="I36:I37"/>
    <mergeCell ref="J36:J37"/>
    <mergeCell ref="A30:A31"/>
    <mergeCell ref="B30:B31"/>
    <mergeCell ref="H30:H31"/>
    <mergeCell ref="I30:I31"/>
    <mergeCell ref="J30:J31"/>
    <mergeCell ref="A32:A33"/>
    <mergeCell ref="B32:B33"/>
    <mergeCell ref="H32:H33"/>
    <mergeCell ref="I32:I33"/>
    <mergeCell ref="J32:J33"/>
    <mergeCell ref="A26:A27"/>
    <mergeCell ref="B26:B27"/>
    <mergeCell ref="H26:H27"/>
    <mergeCell ref="I26:I27"/>
    <mergeCell ref="J26:J27"/>
    <mergeCell ref="A28:A29"/>
    <mergeCell ref="B28:B29"/>
    <mergeCell ref="H28:H29"/>
    <mergeCell ref="I28:I29"/>
    <mergeCell ref="J28:J29"/>
    <mergeCell ref="A22:A23"/>
    <mergeCell ref="B22:B23"/>
    <mergeCell ref="H22:H23"/>
    <mergeCell ref="I22:I23"/>
    <mergeCell ref="J22:J23"/>
    <mergeCell ref="A24:A25"/>
    <mergeCell ref="B24:B25"/>
    <mergeCell ref="H24:H25"/>
    <mergeCell ref="I24:I25"/>
    <mergeCell ref="J24:J25"/>
    <mergeCell ref="A18:A19"/>
    <mergeCell ref="B18:B19"/>
    <mergeCell ref="H18:H19"/>
    <mergeCell ref="I18:I19"/>
    <mergeCell ref="J18:J19"/>
    <mergeCell ref="A20:A21"/>
    <mergeCell ref="B20:B21"/>
    <mergeCell ref="H20:H21"/>
    <mergeCell ref="I20:I21"/>
    <mergeCell ref="J20:J21"/>
    <mergeCell ref="A14:A15"/>
    <mergeCell ref="B14:B15"/>
    <mergeCell ref="H14:H15"/>
    <mergeCell ref="I14:I15"/>
    <mergeCell ref="J14:J15"/>
    <mergeCell ref="A16:A17"/>
    <mergeCell ref="B16:B17"/>
    <mergeCell ref="H16:H17"/>
    <mergeCell ref="I16:I17"/>
    <mergeCell ref="J16:J17"/>
    <mergeCell ref="A10:A11"/>
    <mergeCell ref="B10:B11"/>
    <mergeCell ref="H10:H11"/>
    <mergeCell ref="I10:I11"/>
    <mergeCell ref="J10:J11"/>
    <mergeCell ref="A12:A13"/>
    <mergeCell ref="B12:B13"/>
    <mergeCell ref="H12:H13"/>
    <mergeCell ref="I12:I13"/>
    <mergeCell ref="J12:J13"/>
    <mergeCell ref="A6:A7"/>
    <mergeCell ref="B6:B7"/>
    <mergeCell ref="H6:H7"/>
    <mergeCell ref="I6:I7"/>
    <mergeCell ref="J6:J7"/>
    <mergeCell ref="A8:A9"/>
    <mergeCell ref="B8:B9"/>
    <mergeCell ref="H8:H9"/>
    <mergeCell ref="I8:I9"/>
    <mergeCell ref="J8:J9"/>
    <mergeCell ref="A4:A5"/>
    <mergeCell ref="B4:B5"/>
    <mergeCell ref="C4:C5"/>
    <mergeCell ref="E4:E5"/>
    <mergeCell ref="G4:G5"/>
    <mergeCell ref="I4:I5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Брылева Наталья Сергеевна</cp:lastModifiedBy>
  <cp:lastPrinted>2022-09-30T07:38:34Z</cp:lastPrinted>
  <dcterms:created xsi:type="dcterms:W3CDTF">1996-10-08T23:32:33Z</dcterms:created>
  <dcterms:modified xsi:type="dcterms:W3CDTF">2022-10-04T11:28:17Z</dcterms:modified>
  <cp:category/>
  <cp:version/>
  <cp:contentType/>
  <cp:contentStatus/>
</cp:coreProperties>
</file>