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680" activeTab="2"/>
  </bookViews>
  <sheets>
    <sheet name="Расчёты по RAB " sheetId="1" r:id="rId1"/>
    <sheet name="Расчет расходов по RAB" sheetId="2" r:id="rId2"/>
    <sheet name="Расчет НВВ по RAB" sheetId="3" r:id="rId3"/>
  </sheets>
  <externalReferences>
    <externalReference r:id="rId6"/>
  </externalReferences>
  <definedNames/>
  <calcPr fullCalcOnLoad="1"/>
</workbook>
</file>

<file path=xl/comments3.xml><?xml version="1.0" encoding="utf-8"?>
<comments xmlns="http://schemas.openxmlformats.org/spreadsheetml/2006/main">
  <authors>
    <author>KAV</author>
  </authors>
  <commentList>
    <comment ref="E42" authorId="0">
      <text>
        <r>
          <rPr>
            <sz val="9"/>
            <rFont val="Tahoma"/>
            <family val="2"/>
          </rPr>
          <t>Долгосрочные параметры регулирования не подлежат пересмотру и должны строго соответствовать параметрам,  согласованным ФСТ России</t>
        </r>
      </text>
    </comment>
  </commentList>
</comments>
</file>

<file path=xl/sharedStrings.xml><?xml version="1.0" encoding="utf-8"?>
<sst xmlns="http://schemas.openxmlformats.org/spreadsheetml/2006/main" count="797" uniqueCount="414">
  <si>
    <t>№ п/п</t>
  </si>
  <si>
    <t>Показатели</t>
  </si>
  <si>
    <t>1</t>
  </si>
  <si>
    <t>1.1</t>
  </si>
  <si>
    <t>Вспомогательные материалы</t>
  </si>
  <si>
    <t>1.1.1</t>
  </si>
  <si>
    <t>ГСМ</t>
  </si>
  <si>
    <t>1.1.2</t>
  </si>
  <si>
    <t>1.2</t>
  </si>
  <si>
    <t>1.3</t>
  </si>
  <si>
    <t>1.3.1</t>
  </si>
  <si>
    <t>1.3.2</t>
  </si>
  <si>
    <t>1.3.2.1</t>
  </si>
  <si>
    <t>ВН</t>
  </si>
  <si>
    <t>1.3.2.2</t>
  </si>
  <si>
    <t>1.3.2.3</t>
  </si>
  <si>
    <t>1.3.2.4</t>
  </si>
  <si>
    <t>НН</t>
  </si>
  <si>
    <t>1.4</t>
  </si>
  <si>
    <t>1.5</t>
  </si>
  <si>
    <t>1.6</t>
  </si>
  <si>
    <t>Ремонт основных фондов</t>
  </si>
  <si>
    <t>плата за землю</t>
  </si>
  <si>
    <t>Услуги связи</t>
  </si>
  <si>
    <t>Расходы на услуги коммунального хозяйства</t>
  </si>
  <si>
    <t>Расходы на сертификацию</t>
  </si>
  <si>
    <t>Транспортные услуги</t>
  </si>
  <si>
    <t>Расходы на обеспечение нормальных условий труда и мер по технике безопасности</t>
  </si>
  <si>
    <t>Плата за аренду имущества и лизинг</t>
  </si>
  <si>
    <t>Расходы на командировки и представительские</t>
  </si>
  <si>
    <t>Расходы на подготовку кадров</t>
  </si>
  <si>
    <t>Расходы на страхование</t>
  </si>
  <si>
    <t>Другие прочие расходы</t>
  </si>
  <si>
    <t>2</t>
  </si>
  <si>
    <t>2.1</t>
  </si>
  <si>
    <t>2.2</t>
  </si>
  <si>
    <t>% за пользование кредитом</t>
  </si>
  <si>
    <t>2.3</t>
  </si>
  <si>
    <t>налог на имущество</t>
  </si>
  <si>
    <t>2.3.1</t>
  </si>
  <si>
    <t>2.3.2</t>
  </si>
  <si>
    <t>2.3.3</t>
  </si>
  <si>
    <t>2.3.4</t>
  </si>
  <si>
    <t>2.4</t>
  </si>
  <si>
    <t>2.5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</si>
  <si>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</si>
  <si>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</si>
  <si>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</si>
  <si>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</si>
  <si>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</si>
  <si>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</si>
  <si>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</si>
  <si>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</si>
  <si>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</si>
  <si>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</si>
  <si>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4.5</t>
  </si>
  <si>
    <t>5</t>
  </si>
  <si>
    <t>6</t>
  </si>
  <si>
    <t>7</t>
  </si>
  <si>
    <t>Налог на прибыль</t>
  </si>
  <si>
    <t>7.1</t>
  </si>
  <si>
    <t>7.2</t>
  </si>
  <si>
    <t>7.3</t>
  </si>
  <si>
    <t>8</t>
  </si>
  <si>
    <t>9</t>
  </si>
  <si>
    <t>10</t>
  </si>
  <si>
    <t>СПРАВОЧНО</t>
  </si>
  <si>
    <t>11</t>
  </si>
  <si>
    <t>12</t>
  </si>
  <si>
    <t>13</t>
  </si>
  <si>
    <t>13.1</t>
  </si>
  <si>
    <t>13.2</t>
  </si>
  <si>
    <t>Единица измерения</t>
  </si>
  <si>
    <t>2011 год         факт</t>
  </si>
  <si>
    <t>2012 год</t>
  </si>
  <si>
    <t>2013 год план</t>
  </si>
  <si>
    <t>2014 год план</t>
  </si>
  <si>
    <t>Примечание</t>
  </si>
  <si>
    <t>Принято в тарифе</t>
  </si>
  <si>
    <t>Предложение ТСО на 2013 год</t>
  </si>
  <si>
    <t>Темп роста к 2012 г., %</t>
  </si>
  <si>
    <t xml:space="preserve">Предложение экспертов РЭК </t>
  </si>
  <si>
    <t>Откорректировано по году</t>
  </si>
  <si>
    <t>1 полугодие</t>
  </si>
  <si>
    <t>2 полугодие</t>
  </si>
  <si>
    <t>Итого                     на 2012 год</t>
  </si>
  <si>
    <t>Итого                     на 2013 год</t>
  </si>
  <si>
    <t>1. Расчёт коэффициента индексации</t>
  </si>
  <si>
    <t>инфляция</t>
  </si>
  <si>
    <t>%</t>
  </si>
  <si>
    <t>индекс эффективности операционных расходов</t>
  </si>
  <si>
    <t>х</t>
  </si>
  <si>
    <t>количество активов, всего</t>
  </si>
  <si>
    <t>у.е.</t>
  </si>
  <si>
    <t>СН1</t>
  </si>
  <si>
    <t>СН2</t>
  </si>
  <si>
    <t>индекс изменения количества активов</t>
  </si>
  <si>
    <t>коэффициент эластичности затрат по росту активов</t>
  </si>
  <si>
    <t>итого коэффициент индексации</t>
  </si>
  <si>
    <t>2. Расчёт подконтрольных расходов</t>
  </si>
  <si>
    <t>тыс.руб.</t>
  </si>
  <si>
    <t>2.1.1</t>
  </si>
  <si>
    <t>2.1.2</t>
  </si>
  <si>
    <t>Прочие вспомогательные материалы</t>
  </si>
  <si>
    <t>Расходы на оплату труда</t>
  </si>
  <si>
    <t>Прочие расходы, связанные с производством и реализацией продукции (услуг), всего, в т.ч.:</t>
  </si>
  <si>
    <t xml:space="preserve">Работы и услуги производственного характера </t>
  </si>
  <si>
    <t>Работы и услуги сторонних организаций</t>
  </si>
  <si>
    <t>2.3.3.1</t>
  </si>
  <si>
    <t>2.3.3.2</t>
  </si>
  <si>
    <t>Расходы на услуги вневедомственной охраны и пожарной безопасности</t>
  </si>
  <si>
    <t>2.3.3.3</t>
  </si>
  <si>
    <t>2.3.3.4</t>
  </si>
  <si>
    <t>Расходы на юридические и информационные услуги</t>
  </si>
  <si>
    <t>2.3.3.5</t>
  </si>
  <si>
    <t>Расходы на аудиторские и консультационные услуги</t>
  </si>
  <si>
    <t>2.3.3.6</t>
  </si>
  <si>
    <t>2.3.3.7</t>
  </si>
  <si>
    <t>2.3.3.8</t>
  </si>
  <si>
    <t>Прочие услуги сторонних организаций</t>
  </si>
  <si>
    <t>2.3.5</t>
  </si>
  <si>
    <t>2.3.6</t>
  </si>
  <si>
    <t>2.3.7</t>
  </si>
  <si>
    <t>2.3.8</t>
  </si>
  <si>
    <t>Расходы на НИОКР</t>
  </si>
  <si>
    <t>2.3.9</t>
  </si>
  <si>
    <t>Расходы на содержание управляющей компании</t>
  </si>
  <si>
    <t>2.3.10</t>
  </si>
  <si>
    <t>2.4.</t>
  </si>
  <si>
    <t>Внереализационные расходы</t>
  </si>
  <si>
    <t>2.4.1</t>
  </si>
  <si>
    <t>Расходы на услуги банков</t>
  </si>
  <si>
    <t>2.4.2</t>
  </si>
  <si>
    <t>2.4.3</t>
  </si>
  <si>
    <t>Другие обоснованные расходы</t>
  </si>
  <si>
    <t>Расходы, не учитываемые в целях налогообложения</t>
  </si>
  <si>
    <t>2.5.1</t>
  </si>
  <si>
    <t>Денежные выплаты социального характера (по коллективному договору)</t>
  </si>
  <si>
    <t>2.5.2</t>
  </si>
  <si>
    <t>Прочие расходы из прибыли</t>
  </si>
  <si>
    <t>ИТОГО подконтрольные расходы</t>
  </si>
  <si>
    <t>3. Расчёт неподконтрольных расходов</t>
  </si>
  <si>
    <t>Оплата услуг ОАО "ФСК ЕЭС"</t>
  </si>
  <si>
    <t>Электроэнергия на хоз. нужды</t>
  </si>
  <si>
    <t>Теплоэнергия</t>
  </si>
  <si>
    <t>Плата за аренду электросетевого имущества и лизинг</t>
  </si>
  <si>
    <t>3.5</t>
  </si>
  <si>
    <t>Налоги, всего, в т.ч.:</t>
  </si>
  <si>
    <t>3.5.1</t>
  </si>
  <si>
    <t>3.5.2</t>
  </si>
  <si>
    <t>3.5.3</t>
  </si>
  <si>
    <t>прочие налоги и сборы</t>
  </si>
  <si>
    <t>3.6</t>
  </si>
  <si>
    <t>Отчисления на социальные нужды (ЕСН)</t>
  </si>
  <si>
    <t>3.7</t>
  </si>
  <si>
    <t>Прочие неподконтрольные расходы</t>
  </si>
  <si>
    <t>3.8</t>
  </si>
  <si>
    <t>3.9</t>
  </si>
  <si>
    <t>Выпадающие доходы от технологического присоединения</t>
  </si>
  <si>
    <t>3.10</t>
  </si>
  <si>
    <t>Амортизация</t>
  </si>
  <si>
    <t>3.10.1</t>
  </si>
  <si>
    <t>Амортизация, учитываемая при налогообложении</t>
  </si>
  <si>
    <t>3.10.2</t>
  </si>
  <si>
    <t>Амортизация, не учитываемая при налогообложении</t>
  </si>
  <si>
    <t>3.11</t>
  </si>
  <si>
    <t>Погашение заёмных средств</t>
  </si>
  <si>
    <t>3.12</t>
  </si>
  <si>
    <t>Капитальные вложения</t>
  </si>
  <si>
    <t>3.13</t>
  </si>
  <si>
    <t>Дивиденды</t>
  </si>
  <si>
    <t>3.14</t>
  </si>
  <si>
    <t>Резервный фонд</t>
  </si>
  <si>
    <t>ИТОГО неподконтрольных расходов</t>
  </si>
  <si>
    <t xml:space="preserve">4. Расчет расходов, связанных с компенсацией незапланированных расходов / полученный избыток </t>
  </si>
  <si>
    <t>Корректировка НВВ с учетом фактических значений параметров расчета тарифов (для периодов регулирования до 2012г. включительно - незапланированные расходы / полученный избыток в предыдущие годы регулирования)</t>
  </si>
  <si>
    <t>Корректировка НВВ с учетом исполнения инвестиционной программы</t>
  </si>
  <si>
    <t>Корректировка НВВ с учетом надежности и качества оказываемых услуг</t>
  </si>
  <si>
    <t>ИТОГО расходы, связанные с компенсацией незапланированных расходов / полученный избыток</t>
  </si>
  <si>
    <t>5.</t>
  </si>
  <si>
    <t>Необходимая валовая выручка, всего</t>
  </si>
  <si>
    <t>СПРАВОЧНО:</t>
  </si>
  <si>
    <t>отпуск в сеть электроэнергии</t>
  </si>
  <si>
    <t>млн.кВт.ч</t>
  </si>
  <si>
    <t>отпуск в сеть мощности</t>
  </si>
  <si>
    <t>тыс.МВт</t>
  </si>
  <si>
    <t>Потери электроэнергии на технологические нужды</t>
  </si>
  <si>
    <t>То же в</t>
  </si>
  <si>
    <t>Полезный отпуск электроэнергии из сети</t>
  </si>
  <si>
    <t>в том числе:  на хозяйственные нужды</t>
  </si>
  <si>
    <t xml:space="preserve">                    собственное потребление</t>
  </si>
  <si>
    <t xml:space="preserve">                    потребителям ГП</t>
  </si>
  <si>
    <t xml:space="preserve">                    транзит</t>
  </si>
  <si>
    <t>Численность</t>
  </si>
  <si>
    <t>чел.</t>
  </si>
  <si>
    <t>Ср.месячная заработная плата</t>
  </si>
  <si>
    <t>руб.</t>
  </si>
  <si>
    <t>*</t>
  </si>
  <si>
    <t>Расчет расходов по RAB (2011-2017 гг.)</t>
  </si>
  <si>
    <t>Перейти на лист "Справочники"</t>
  </si>
  <si>
    <t>I полугодие 2012</t>
  </si>
  <si>
    <t>II полугодие 2012</t>
  </si>
  <si>
    <t>Расчет коэффициента индексации</t>
  </si>
  <si>
    <t>0.1</t>
  </si>
  <si>
    <t>0.2</t>
  </si>
  <si>
    <t>0.3</t>
  </si>
  <si>
    <t>0.3.1</t>
  </si>
  <si>
    <t>0.3.2</t>
  </si>
  <si>
    <t>0.3.3</t>
  </si>
  <si>
    <t>0.3.4</t>
  </si>
  <si>
    <t>0.4</t>
  </si>
  <si>
    <t>коэффициент эластичности операционных расходов по росту активов</t>
  </si>
  <si>
    <t>0.5</t>
  </si>
  <si>
    <t>0.6</t>
  </si>
  <si>
    <t>Расчет подконтрольных расходов</t>
  </si>
  <si>
    <t>Материальные затраты</t>
  </si>
  <si>
    <t>тыс.руб</t>
  </si>
  <si>
    <t>Сырье, материалы, запасные части, инструмент, топливо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</si>
  <si>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</si>
  <si>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Прочие расходы, всего, в том числе:</t>
  </si>
  <si>
    <t>Оплата работ и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</si>
  <si>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</si>
  <si>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</si>
  <si>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1.3.2.5</t>
  </si>
  <si>
    <t>1.3.2.6</t>
  </si>
  <si>
    <t>1.3.3</t>
  </si>
  <si>
    <t>1.3.4</t>
  </si>
  <si>
    <t>1.3.5</t>
  </si>
  <si>
    <t>1.3.6</t>
  </si>
  <si>
    <t>расходы на страхование</t>
  </si>
  <si>
    <t>1.3.7</t>
  </si>
  <si>
    <t>Расчет неподконтрольных расходов</t>
  </si>
  <si>
    <t>Налоги,всего, в том числе:</t>
  </si>
  <si>
    <t>Налог на имущество</t>
  </si>
  <si>
    <t>Прочие налоги и сборы</t>
  </si>
  <si>
    <t>Отчисления на социальные нужды (страховые взносы)</t>
  </si>
  <si>
    <t>2.6</t>
  </si>
  <si>
    <t>Расходы по судебным решениям, решениям ФСТ России о рассмотрении разногласий и досудебного урегулирования споров</t>
  </si>
  <si>
    <t>2.7</t>
  </si>
  <si>
    <t>Выпадающие доходы от льготного ТП</t>
  </si>
  <si>
    <t>Расходы, не входящие в операционные и неподконтрольные расходы *</t>
  </si>
  <si>
    <t>Проценты за кредит</t>
  </si>
  <si>
    <t>Прибыль на развитие</t>
  </si>
  <si>
    <t>Возврат тела кредита</t>
  </si>
  <si>
    <t>Расходы социального характера из прибыли</t>
  </si>
  <si>
    <t>ИТОГО расходов</t>
  </si>
  <si>
    <t>НВВ всего</t>
  </si>
  <si>
    <t>НВВ ВСЕГО (В соответствии с принятыми региональными органами регулирования тарифными решениями об установлении долгосрочных параметров регулирования)</t>
  </si>
  <si>
    <t>Дополнительные данные</t>
  </si>
  <si>
    <t>Инвестиции  (без техприсоединения) по освоению - план</t>
  </si>
  <si>
    <t>Фактический  (плановый) ввод</t>
  </si>
  <si>
    <t>Норма доходности на "новый" капитал (ИПР)</t>
  </si>
  <si>
    <t>Величина корректировки НВВ в связи с неисполнением ИПР (штраф со знаком "+")</t>
  </si>
  <si>
    <t>Период возврата</t>
  </si>
  <si>
    <t>лет</t>
  </si>
  <si>
    <t>4.7</t>
  </si>
  <si>
    <t>Величина краткосрочных (текущих) активов регулируемой организации в соответствии с данными бухгалтерской отчётности на начало года, предшествующему началу долгосрочного периода регулирования в году i0</t>
  </si>
  <si>
    <t>4.8</t>
  </si>
  <si>
    <t>Величина краткосрочных (текущих) пассивов регулируемой организации в соответствии с данными бухгалтерской отчётности на конец года, предшествующему началу долгосрочного периода регулирования в году i0</t>
  </si>
  <si>
    <t>4.9</t>
  </si>
  <si>
    <t>Чистый оборотный капитал</t>
  </si>
  <si>
    <t>4.10</t>
  </si>
  <si>
    <t>Чистый оборотный капитал в % доле от НВВ</t>
  </si>
  <si>
    <t>5.1</t>
  </si>
  <si>
    <t>Сглаживание</t>
  </si>
  <si>
    <t>5.1.1</t>
  </si>
  <si>
    <t>Норма доходности на новый капитал</t>
  </si>
  <si>
    <t>5.2</t>
  </si>
  <si>
    <t>Полная величина инвестированного капитала</t>
  </si>
  <si>
    <t>5.3</t>
  </si>
  <si>
    <t>Размер инвестированного капитала - РИК</t>
  </si>
  <si>
    <t>5.4</t>
  </si>
  <si>
    <t>Физический износ - ИИК</t>
  </si>
  <si>
    <t>5.5</t>
  </si>
  <si>
    <t>Возврат новых инвестиций в:</t>
  </si>
  <si>
    <t>5.5.1</t>
  </si>
  <si>
    <t>5.5.2</t>
  </si>
  <si>
    <t>5.5.3</t>
  </si>
  <si>
    <t>5.6</t>
  </si>
  <si>
    <t xml:space="preserve">Накопленный возврат старого капитала, учтенный при регулировании тарифов в предыдущие периоды регулирования </t>
  </si>
  <si>
    <t>Расчет норматива потерь</t>
  </si>
  <si>
    <t>6.1</t>
  </si>
  <si>
    <t>Поступление в сеть</t>
  </si>
  <si>
    <t>млн.кВтч</t>
  </si>
  <si>
    <t>6.2</t>
  </si>
  <si>
    <t xml:space="preserve">Норматив технологического расхода (потерь) электроэнергии </t>
  </si>
  <si>
    <t>6.3</t>
  </si>
  <si>
    <t xml:space="preserve">Величина технологического расхода (потерь) электроэнергии </t>
  </si>
  <si>
    <t>6.4</t>
  </si>
  <si>
    <t>Тариф покупки потерь, в том числе:</t>
  </si>
  <si>
    <t>руб/МВтч</t>
  </si>
  <si>
    <t>6.4.1</t>
  </si>
  <si>
    <t xml:space="preserve">цена на покупку </t>
  </si>
  <si>
    <t>6.4.2</t>
  </si>
  <si>
    <t>сбытовая надбавка</t>
  </si>
  <si>
    <t>6.4.3</t>
  </si>
  <si>
    <t>инфраструктурные платежи</t>
  </si>
  <si>
    <t>6.5</t>
  </si>
  <si>
    <t>Затраты на покупную электроэнергию, приобретаемую в целях компенсации потерь</t>
  </si>
  <si>
    <t>7.2.1</t>
  </si>
  <si>
    <t>7.2.2</t>
  </si>
  <si>
    <t>7.2.3</t>
  </si>
  <si>
    <t>Расчет НВВ по RAB (2011-2017 гг.)</t>
  </si>
  <si>
    <t>Показатель</t>
  </si>
  <si>
    <t>2012</t>
  </si>
  <si>
    <t>НВВ Всего (без ТСО)</t>
  </si>
  <si>
    <t>Подконтрольные расходы</t>
  </si>
  <si>
    <t>Неподконтрольные расходы</t>
  </si>
  <si>
    <t>Возврат капитала</t>
  </si>
  <si>
    <t>Доход на капитал</t>
  </si>
  <si>
    <t>Корректировка доходности инвестированного капитала</t>
  </si>
  <si>
    <t>Корректировка на основе фактических данных</t>
  </si>
  <si>
    <t>Корректировка по исполнению инвестиционной программы</t>
  </si>
  <si>
    <t>Экономия операционых расходов</t>
  </si>
  <si>
    <t>Экономия от снижения технологических потерь</t>
  </si>
  <si>
    <t>ВОЗВРАТ И ДОХОД НА КАПИТАЛ</t>
  </si>
  <si>
    <t>Параметры для расчета возврата капитала</t>
  </si>
  <si>
    <t>10.1</t>
  </si>
  <si>
    <t>Первоначальная стоимость инвестированного капитала - ПИК</t>
  </si>
  <si>
    <t>10.2</t>
  </si>
  <si>
    <t>Расходы на финансирование инвестиционной программы</t>
  </si>
  <si>
    <t>10.3</t>
  </si>
  <si>
    <t>Стоимость фактически введенных объектов в каждом году</t>
  </si>
  <si>
    <t>10.4</t>
  </si>
  <si>
    <t>10.5</t>
  </si>
  <si>
    <t>10.6</t>
  </si>
  <si>
    <t>Период возврата с учетом ИИК</t>
  </si>
  <si>
    <t>Расчет возврата капитала, в том числе</t>
  </si>
  <si>
    <t>11.1</t>
  </si>
  <si>
    <t>Возврат "старого" капитала</t>
  </si>
  <si>
    <t>11.2</t>
  </si>
  <si>
    <t>Возврат "новых" инвестиций (согласно ИПР)</t>
  </si>
  <si>
    <t>11.2.1</t>
  </si>
  <si>
    <t>год 2009</t>
  </si>
  <si>
    <t>год 2010</t>
  </si>
  <si>
    <t>11.2.3</t>
  </si>
  <si>
    <t>год 2011</t>
  </si>
  <si>
    <t>11.2.4</t>
  </si>
  <si>
    <t>год 2012</t>
  </si>
  <si>
    <t>11.2.5</t>
  </si>
  <si>
    <t>год 2013</t>
  </si>
  <si>
    <t>11.2.6</t>
  </si>
  <si>
    <t>год 2014</t>
  </si>
  <si>
    <t>11.2.7</t>
  </si>
  <si>
    <t>год 2015</t>
  </si>
  <si>
    <t>11.2.8</t>
  </si>
  <si>
    <t>год 2016</t>
  </si>
  <si>
    <t>Параметры для расчета дохода на капитал</t>
  </si>
  <si>
    <t>12.1</t>
  </si>
  <si>
    <t>Остаточная величина инвестированного капитала - ОИК</t>
  </si>
  <si>
    <t>12.2</t>
  </si>
  <si>
    <t>Чистый оборотный капитал - ЧОК</t>
  </si>
  <si>
    <t>12.3</t>
  </si>
  <si>
    <t>Норма доходности на "старый" капитал</t>
  </si>
  <si>
    <t>12.4</t>
  </si>
  <si>
    <t xml:space="preserve">Норма доходности на "новый" капитал </t>
  </si>
  <si>
    <t>12.5</t>
  </si>
  <si>
    <t>Региональный коэффициент доходности</t>
  </si>
  <si>
    <t>Расчет дохода на капитала, в том числе:</t>
  </si>
  <si>
    <t>доход на "старый" капитал</t>
  </si>
  <si>
    <t>доход на "новый" капитал  и оборотный капитал</t>
  </si>
  <si>
    <t>РАСЧЕТНЫЕ ДАННЫЕ</t>
  </si>
  <si>
    <t>Расчет налога на прибыль</t>
  </si>
  <si>
    <t>Доходы</t>
  </si>
  <si>
    <t>Расходы</t>
  </si>
  <si>
    <t>Амортизация учитываемая в целях налогообложения</t>
  </si>
  <si>
    <t>амортизация текущего года</t>
  </si>
  <si>
    <t>амортизация, не учитываемая в целях налогообложения</t>
  </si>
  <si>
    <t>Налогооблагаемая база</t>
  </si>
  <si>
    <t>Ставка налога на прибыль</t>
  </si>
  <si>
    <t>Расчет доступных средств на инвестиции</t>
  </si>
  <si>
    <t>Возврат и доход на капитал - всего</t>
  </si>
  <si>
    <t>Расходы из возврата и дохода на капитал</t>
  </si>
  <si>
    <t>Прибыль на прочие цели</t>
  </si>
  <si>
    <t>Проценты за кредит с начала года</t>
  </si>
  <si>
    <t>Возврат и доход на капитала - на инвестиции</t>
  </si>
  <si>
    <t>Амортизация на ИПР</t>
  </si>
  <si>
    <t>Объем сглаживания, корректировка</t>
  </si>
  <si>
    <t>Доступные средства на инвестиции</t>
  </si>
  <si>
    <t>Источники финансирования ИПР</t>
  </si>
  <si>
    <t>ИПР всего</t>
  </si>
  <si>
    <t>Источники RAB</t>
  </si>
  <si>
    <t>Заемные средства на инвестиции</t>
  </si>
  <si>
    <t>Бухгалтерские источники финансирования ИПР</t>
  </si>
  <si>
    <t>Прибыль</t>
  </si>
  <si>
    <t>Расчет процентов за кредит и кредитного плеча</t>
  </si>
  <si>
    <t>Сумма заемных средств на конец года</t>
  </si>
  <si>
    <t>Заемные средства на конец предыдущего периода</t>
  </si>
  <si>
    <t>Заемные средства на инвестиции с учетом сглаживания и корректировок</t>
  </si>
  <si>
    <t>Заемные средства на ЧОК</t>
  </si>
  <si>
    <t>Проверка</t>
  </si>
  <si>
    <t>Справочно:</t>
  </si>
  <si>
    <t>Погашение заемных средств</t>
  </si>
  <si>
    <t>Расчет процентов за кредит с начала года</t>
  </si>
  <si>
    <t>Ставка за пользование кредитом на начало года</t>
  </si>
  <si>
    <t>Величина кредита на начало года</t>
  </si>
  <si>
    <t>Проценты за пользование кредитом с начала года</t>
  </si>
  <si>
    <t>Расчет процентов за кредит в течение года</t>
  </si>
  <si>
    <t>Ставка за пользование кредитом, привлеченного в середине года</t>
  </si>
  <si>
    <t>Величина кредита</t>
  </si>
  <si>
    <t>Проценты за пользование кредитом в течение года</t>
  </si>
  <si>
    <t>ИТОГО Проценты за кредит всего</t>
  </si>
  <si>
    <t>Расчет кредитного плеча</t>
  </si>
  <si>
    <t>Кредитное плечо</t>
  </si>
  <si>
    <t>Доля займов на финансирование инвестпрограммы</t>
  </si>
  <si>
    <t>Долг/Прибыль до налогообложения</t>
  </si>
  <si>
    <t>РАСЧЕТ РОСТА ТАРИФА</t>
  </si>
  <si>
    <t>Полезный отпуск</t>
  </si>
  <si>
    <t>Средний тариф РСК</t>
  </si>
  <si>
    <t>коп./кВтч</t>
  </si>
  <si>
    <t>Рост среднего тарифа</t>
  </si>
  <si>
    <t>В соотвествии с пож. Предписанием</t>
  </si>
  <si>
    <t>Договор с негосударственным пенсионным фондом</t>
  </si>
  <si>
    <t>Протокол сводного расчета НВВ ОАО "Городские электрические сети", г.Нижневартовск  на 2013 г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</si>
</sst>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%"/>
    <numFmt numFmtId="166" formatCode="0.0%"/>
    <numFmt numFmtId="167" formatCode="0.000"/>
    <numFmt numFmtId="168" formatCode="#,##0.0000"/>
    <numFmt numFmtId="169" formatCode="0.0"/>
    <numFmt numFmtId="170" formatCode="#,##0.0"/>
  </numFmts>
  <fonts count="24"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7.5"/>
      <color indexed="12"/>
      <name val="Arial"/>
      <family val="0"/>
    </font>
    <font>
      <b/>
      <sz val="14"/>
      <name val="Franklin Gothic Medium"/>
      <family val="2"/>
    </font>
    <font>
      <sz val="8"/>
      <name val="Arial Cyr"/>
      <family val="0"/>
    </font>
    <font>
      <b/>
      <sz val="10"/>
      <name val="Tahoma"/>
      <family val="2"/>
    </font>
    <font>
      <u val="single"/>
      <sz val="10"/>
      <color indexed="36"/>
      <name val="Arial Cyr"/>
      <family val="0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b/>
      <sz val="1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i/>
      <sz val="9"/>
      <color indexed="8"/>
      <name val="Tahoma"/>
      <family val="2"/>
    </font>
    <font>
      <b/>
      <sz val="9"/>
      <color indexed="10"/>
      <name val="Tahoma"/>
      <family val="2"/>
    </font>
    <font>
      <i/>
      <sz val="9"/>
      <name val="Tahoma"/>
      <family val="2"/>
    </font>
    <font>
      <sz val="10"/>
      <name val="Helv"/>
      <family val="0"/>
    </font>
    <font>
      <b/>
      <u val="single"/>
      <sz val="9"/>
      <color indexed="12"/>
      <name val="Tahoma"/>
      <family val="2"/>
    </font>
    <font>
      <sz val="9"/>
      <color indexed="12"/>
      <name val="Tahoma"/>
      <family val="2"/>
    </font>
    <font>
      <b/>
      <i/>
      <sz val="9"/>
      <name val="Tahoma"/>
      <family val="2"/>
    </font>
    <font>
      <sz val="9"/>
      <color indexed="10"/>
      <name val="Tahoma"/>
      <family val="2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22"/>
      </patternFill>
    </fill>
    <fill>
      <patternFill patternType="solid">
        <fgColor indexed="31"/>
        <bgColor indexed="64"/>
      </patternFill>
    </fill>
  </fills>
  <borders count="18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>
        <color indexed="63"/>
      </top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thin">
        <color indexed="63"/>
      </top>
      <bottom style="medium">
        <color indexed="63"/>
      </bottom>
    </border>
    <border>
      <left style="thin"/>
      <right style="medium"/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/>
      <right style="medium"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 style="thin"/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/>
      <top style="thin">
        <color indexed="63"/>
      </top>
      <bottom style="medium"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/>
      <top style="thin"/>
      <bottom style="medium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/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63"/>
      </left>
      <right style="thin"/>
      <top style="medium"/>
      <bottom style="medium">
        <color indexed="63"/>
      </bottom>
    </border>
    <border>
      <left style="thin">
        <color indexed="63"/>
      </left>
      <right style="medium"/>
      <top style="medium"/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/>
      <top style="medium">
        <color indexed="63"/>
      </top>
      <bottom style="thin"/>
    </border>
    <border>
      <left style="thin"/>
      <right style="medium">
        <color indexed="63"/>
      </right>
      <top style="medium">
        <color indexed="63"/>
      </top>
      <bottom style="thin"/>
    </border>
    <border>
      <left style="medium"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/>
      <top style="thin">
        <color indexed="63"/>
      </top>
      <bottom style="medium">
        <color indexed="63"/>
      </bottom>
    </border>
    <border>
      <left style="medium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indexed="63"/>
      </right>
      <top/>
      <bottom style="medium"/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/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/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medium"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medium"/>
      <top style="thin">
        <color indexed="63"/>
      </top>
      <bottom style="medium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63"/>
      </left>
      <right style="thin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>
        <color indexed="63"/>
      </right>
      <top style="thin"/>
      <bottom style="medium"/>
    </border>
    <border>
      <left style="thin"/>
      <right style="medium"/>
      <top>
        <color indexed="63"/>
      </top>
      <bottom style="medium">
        <color indexed="63"/>
      </bottom>
    </border>
    <border>
      <left style="medium">
        <color indexed="63"/>
      </left>
      <right style="thin"/>
      <top/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indexed="63"/>
      </left>
      <right style="thin">
        <color indexed="63"/>
      </right>
      <top style="medium"/>
      <bottom style="thin"/>
    </border>
    <border>
      <left style="medium"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63"/>
      </left>
      <right style="thin">
        <color indexed="63"/>
      </right>
      <top/>
      <bottom style="medium"/>
    </border>
    <border>
      <left style="thin"/>
      <right/>
      <top/>
      <bottom style="medium"/>
    </border>
    <border>
      <left style="thin"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Border="0">
      <alignment horizontal="center" vertical="center" wrapText="1"/>
      <protection/>
    </xf>
    <xf numFmtId="0" fontId="2" fillId="0" borderId="1" applyBorder="0">
      <alignment horizontal="center" vertical="center" wrapText="1"/>
      <protection/>
    </xf>
    <xf numFmtId="4" fontId="1" fillId="2" borderId="2" applyBorder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3" borderId="0" applyBorder="0">
      <alignment horizontal="right"/>
      <protection/>
    </xf>
    <xf numFmtId="4" fontId="1" fillId="3" borderId="0" applyFont="0" applyBorder="0">
      <alignment horizontal="right"/>
      <protection/>
    </xf>
    <xf numFmtId="4" fontId="1" fillId="3" borderId="2" applyFont="0" applyBorder="0">
      <alignment horizontal="right"/>
      <protection/>
    </xf>
  </cellStyleXfs>
  <cellXfs count="799">
    <xf numFmtId="0" fontId="0" fillId="0" borderId="0" xfId="0" applyAlignment="1">
      <alignment/>
    </xf>
    <xf numFmtId="0" fontId="1" fillId="0" borderId="0" xfId="22" applyFont="1" applyAlignment="1" applyProtection="1">
      <alignment horizontal="center" vertical="center" wrapText="1"/>
      <protection/>
    </xf>
    <xf numFmtId="0" fontId="1" fillId="4" borderId="3" xfId="22" applyFont="1" applyFill="1" applyBorder="1" applyAlignment="1" applyProtection="1">
      <alignment horizontal="center" vertical="center"/>
      <protection/>
    </xf>
    <xf numFmtId="0" fontId="8" fillId="4" borderId="4" xfId="0" applyFont="1" applyFill="1" applyBorder="1" applyAlignment="1" applyProtection="1">
      <alignment horizontal="center" vertical="center"/>
      <protection/>
    </xf>
    <xf numFmtId="0" fontId="9" fillId="4" borderId="4" xfId="0" applyFont="1" applyFill="1" applyBorder="1" applyAlignment="1" applyProtection="1">
      <alignment horizontal="center" vertical="center"/>
      <protection/>
    </xf>
    <xf numFmtId="0" fontId="1" fillId="0" borderId="0" xfId="22" applyFont="1" applyAlignment="1" applyProtection="1">
      <alignment horizontal="center" vertical="center"/>
      <protection/>
    </xf>
    <xf numFmtId="0" fontId="1" fillId="4" borderId="0" xfId="22" applyFont="1" applyFill="1" applyBorder="1" applyAlignment="1" applyProtection="1">
      <alignment vertical="center"/>
      <protection/>
    </xf>
    <xf numFmtId="0" fontId="2" fillId="4" borderId="0" xfId="22" applyFont="1" applyFill="1" applyBorder="1" applyAlignment="1" applyProtection="1">
      <alignment vertical="center"/>
      <protection/>
    </xf>
    <xf numFmtId="0" fontId="1" fillId="0" borderId="0" xfId="22" applyFont="1" applyBorder="1" applyAlignment="1" applyProtection="1">
      <alignment vertical="center" wrapText="1"/>
      <protection/>
    </xf>
    <xf numFmtId="0" fontId="1" fillId="0" borderId="0" xfId="22" applyFont="1" applyBorder="1" applyAlignment="1" applyProtection="1">
      <alignment vertical="center"/>
      <protection/>
    </xf>
    <xf numFmtId="0" fontId="1" fillId="0" borderId="0" xfId="22" applyFont="1" applyAlignment="1" applyProtection="1">
      <alignment vertical="center" wrapText="1"/>
      <protection/>
    </xf>
    <xf numFmtId="0" fontId="1" fillId="0" borderId="0" xfId="22" applyFont="1" applyAlignment="1" applyProtection="1">
      <alignment vertical="center"/>
      <protection/>
    </xf>
    <xf numFmtId="0" fontId="1" fillId="4" borderId="0" xfId="22" applyFont="1" applyFill="1" applyBorder="1" applyAlignment="1" applyProtection="1">
      <alignment horizontal="center" vertical="center"/>
      <protection/>
    </xf>
    <xf numFmtId="0" fontId="2" fillId="4" borderId="0" xfId="22" applyFont="1" applyFill="1" applyBorder="1" applyAlignment="1" applyProtection="1">
      <alignment horizontal="center" vertical="center"/>
      <protection/>
    </xf>
    <xf numFmtId="0" fontId="1" fillId="0" borderId="5" xfId="22" applyFont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7" xfId="22" applyFont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 applyProtection="1">
      <alignment horizontal="center" vertical="center" wrapText="1"/>
      <protection/>
    </xf>
    <xf numFmtId="0" fontId="1" fillId="0" borderId="9" xfId="22" applyFont="1" applyBorder="1" applyAlignment="1" applyProtection="1">
      <alignment horizontal="center" vertical="center" wrapText="1"/>
      <protection/>
    </xf>
    <xf numFmtId="0" fontId="12" fillId="0" borderId="10" xfId="19" applyFont="1" applyBorder="1" applyAlignment="1" applyProtection="1">
      <alignment horizontal="center" vertical="center" wrapText="1"/>
      <protection/>
    </xf>
    <xf numFmtId="0" fontId="12" fillId="0" borderId="11" xfId="19" applyFont="1" applyBorder="1" applyAlignment="1" applyProtection="1">
      <alignment horizontal="center" vertical="center" wrapText="1"/>
      <protection/>
    </xf>
    <xf numFmtId="0" fontId="12" fillId="0" borderId="12" xfId="19" applyFont="1" applyBorder="1" applyAlignment="1" applyProtection="1">
      <alignment horizontal="center" vertical="center" wrapText="1"/>
      <protection/>
    </xf>
    <xf numFmtId="0" fontId="12" fillId="0" borderId="13" xfId="19" applyFont="1" applyBorder="1" applyAlignment="1" applyProtection="1">
      <alignment horizontal="center" vertical="center" wrapText="1"/>
      <protection/>
    </xf>
    <xf numFmtId="0" fontId="1" fillId="0" borderId="0" xfId="22" applyFont="1" applyBorder="1" applyAlignment="1" applyProtection="1">
      <alignment horizontal="center" vertical="center"/>
      <protection/>
    </xf>
    <xf numFmtId="0" fontId="2" fillId="5" borderId="14" xfId="22" applyFont="1" applyFill="1" applyBorder="1" applyAlignment="1" applyProtection="1">
      <alignment vertical="center"/>
      <protection/>
    </xf>
    <xf numFmtId="0" fontId="1" fillId="0" borderId="15" xfId="22" applyFont="1" applyBorder="1" applyAlignment="1" applyProtection="1">
      <alignment vertical="center" wrapText="1"/>
      <protection/>
    </xf>
    <xf numFmtId="49" fontId="1" fillId="4" borderId="16" xfId="22" applyNumberFormat="1" applyFont="1" applyFill="1" applyBorder="1" applyAlignment="1" applyProtection="1">
      <alignment horizontal="center" vertical="center"/>
      <protection/>
    </xf>
    <xf numFmtId="49" fontId="11" fillId="0" borderId="2" xfId="18" applyNumberFormat="1" applyFont="1" applyBorder="1" applyAlignment="1" applyProtection="1">
      <alignment horizontal="left" vertical="center" wrapText="1"/>
      <protection/>
    </xf>
    <xf numFmtId="0" fontId="11" fillId="0" borderId="2" xfId="22" applyFont="1" applyFill="1" applyBorder="1" applyAlignment="1" applyProtection="1">
      <alignment horizontal="center" vertical="center"/>
      <protection/>
    </xf>
    <xf numFmtId="10" fontId="11" fillId="2" borderId="2" xfId="26" applyNumberFormat="1" applyFont="1" applyFill="1" applyBorder="1" applyAlignment="1" applyProtection="1">
      <alignment horizontal="right" vertical="center"/>
      <protection locked="0"/>
    </xf>
    <xf numFmtId="10" fontId="13" fillId="2" borderId="2" xfId="26" applyNumberFormat="1" applyFont="1" applyFill="1" applyBorder="1" applyAlignment="1" applyProtection="1">
      <alignment horizontal="right" vertical="center"/>
      <protection locked="0"/>
    </xf>
    <xf numFmtId="2" fontId="1" fillId="3" borderId="2" xfId="27" applyNumberFormat="1" applyFont="1" applyFill="1" applyBorder="1" applyAlignment="1" applyProtection="1">
      <alignment horizontal="center" vertical="center"/>
      <protection/>
    </xf>
    <xf numFmtId="10" fontId="13" fillId="3" borderId="2" xfId="26" applyNumberFormat="1" applyFont="1" applyFill="1" applyBorder="1" applyAlignment="1" applyProtection="1">
      <alignment horizontal="right" vertical="center"/>
      <protection locked="0"/>
    </xf>
    <xf numFmtId="4" fontId="1" fillId="3" borderId="2" xfId="27" applyNumberFormat="1" applyFont="1" applyFill="1" applyBorder="1" applyAlignment="1" applyProtection="1">
      <alignment horizontal="center" vertical="center"/>
      <protection/>
    </xf>
    <xf numFmtId="166" fontId="11" fillId="2" borderId="2" xfId="26" applyNumberFormat="1" applyFont="1" applyFill="1" applyBorder="1" applyAlignment="1" applyProtection="1">
      <alignment horizontal="right" vertical="center"/>
      <protection locked="0"/>
    </xf>
    <xf numFmtId="10" fontId="11" fillId="2" borderId="17" xfId="26" applyNumberFormat="1" applyFont="1" applyFill="1" applyBorder="1" applyAlignment="1" applyProtection="1">
      <alignment horizontal="right" vertical="center"/>
      <protection locked="0"/>
    </xf>
    <xf numFmtId="0" fontId="1" fillId="0" borderId="2" xfId="22" applyFont="1" applyBorder="1" applyAlignment="1" applyProtection="1">
      <alignment vertical="center" wrapText="1"/>
      <protection/>
    </xf>
    <xf numFmtId="4" fontId="11" fillId="2" borderId="2" xfId="22" applyNumberFormat="1" applyFont="1" applyFill="1" applyBorder="1" applyAlignment="1" applyProtection="1">
      <alignment horizontal="right" vertical="center"/>
      <protection locked="0"/>
    </xf>
    <xf numFmtId="4" fontId="13" fillId="2" borderId="2" xfId="22" applyNumberFormat="1" applyFont="1" applyFill="1" applyBorder="1" applyAlignment="1" applyProtection="1">
      <alignment horizontal="right" vertical="center"/>
      <protection locked="0"/>
    </xf>
    <xf numFmtId="4" fontId="13" fillId="3" borderId="2" xfId="22" applyNumberFormat="1" applyFont="1" applyFill="1" applyBorder="1" applyAlignment="1" applyProtection="1">
      <alignment horizontal="right" vertical="center"/>
      <protection locked="0"/>
    </xf>
    <xf numFmtId="4" fontId="11" fillId="2" borderId="17" xfId="22" applyNumberFormat="1" applyFont="1" applyFill="1" applyBorder="1" applyAlignment="1" applyProtection="1">
      <alignment horizontal="right" vertical="center"/>
      <protection locked="0"/>
    </xf>
    <xf numFmtId="49" fontId="11" fillId="0" borderId="2" xfId="18" applyNumberFormat="1" applyFont="1" applyBorder="1" applyAlignment="1" applyProtection="1">
      <alignment horizontal="center" vertical="center" wrapText="1"/>
      <protection/>
    </xf>
    <xf numFmtId="166" fontId="2" fillId="3" borderId="2" xfId="26" applyNumberFormat="1" applyFont="1" applyFill="1" applyBorder="1" applyAlignment="1" applyProtection="1">
      <alignment horizontal="right" vertical="center"/>
      <protection/>
    </xf>
    <xf numFmtId="166" fontId="1" fillId="3" borderId="2" xfId="26" applyNumberFormat="1" applyFont="1" applyFill="1" applyBorder="1" applyAlignment="1" applyProtection="1">
      <alignment horizontal="right" vertical="center"/>
      <protection/>
    </xf>
    <xf numFmtId="166" fontId="1" fillId="3" borderId="17" xfId="27" applyNumberFormat="1" applyFont="1" applyFill="1" applyBorder="1" applyAlignment="1" applyProtection="1">
      <alignment horizontal="right" vertical="center"/>
      <protection/>
    </xf>
    <xf numFmtId="0" fontId="11" fillId="0" borderId="2" xfId="22" applyFont="1" applyBorder="1" applyAlignment="1" applyProtection="1">
      <alignment horizontal="left" vertical="center"/>
      <protection/>
    </xf>
    <xf numFmtId="0" fontId="11" fillId="0" borderId="2" xfId="22" applyFont="1" applyBorder="1" applyAlignment="1" applyProtection="1">
      <alignment horizontal="center" vertical="center" wrapText="1"/>
      <protection/>
    </xf>
    <xf numFmtId="4" fontId="13" fillId="2" borderId="2" xfId="27" applyNumberFormat="1" applyFont="1" applyFill="1" applyBorder="1" applyAlignment="1" applyProtection="1">
      <alignment horizontal="right" vertical="center" wrapText="1"/>
      <protection locked="0"/>
    </xf>
    <xf numFmtId="4" fontId="13" fillId="3" borderId="2" xfId="27" applyNumberFormat="1" applyFont="1" applyFill="1" applyBorder="1" applyAlignment="1" applyProtection="1">
      <alignment horizontal="right" vertical="center" wrapText="1"/>
      <protection locked="0"/>
    </xf>
    <xf numFmtId="4" fontId="11" fillId="2" borderId="2" xfId="27" applyNumberFormat="1" applyFont="1" applyFill="1" applyBorder="1" applyAlignment="1" applyProtection="1">
      <alignment horizontal="right" vertical="center" wrapText="1"/>
      <protection locked="0"/>
    </xf>
    <xf numFmtId="4" fontId="11" fillId="2" borderId="17" xfId="27" applyNumberFormat="1" applyFont="1" applyFill="1" applyBorder="1" applyAlignment="1" applyProtection="1">
      <alignment horizontal="right" vertical="center" wrapText="1"/>
      <protection locked="0"/>
    </xf>
    <xf numFmtId="49" fontId="1" fillId="4" borderId="18" xfId="22" applyNumberFormat="1" applyFont="1" applyFill="1" applyBorder="1" applyAlignment="1" applyProtection="1">
      <alignment horizontal="center" vertical="center"/>
      <protection/>
    </xf>
    <xf numFmtId="0" fontId="11" fillId="0" borderId="19" xfId="22" applyFont="1" applyBorder="1" applyAlignment="1" applyProtection="1">
      <alignment horizontal="left" vertical="center"/>
      <protection/>
    </xf>
    <xf numFmtId="0" fontId="11" fillId="0" borderId="19" xfId="22" applyFont="1" applyBorder="1" applyAlignment="1" applyProtection="1">
      <alignment horizontal="center" vertical="center" wrapText="1"/>
      <protection/>
    </xf>
    <xf numFmtId="4" fontId="1" fillId="3" borderId="20" xfId="27" applyNumberFormat="1" applyFont="1" applyFill="1" applyBorder="1" applyAlignment="1" applyProtection="1">
      <alignment horizontal="center" vertical="center"/>
      <protection/>
    </xf>
    <xf numFmtId="4" fontId="2" fillId="3" borderId="20" xfId="27" applyNumberFormat="1" applyFont="1" applyFill="1" applyBorder="1" applyAlignment="1" applyProtection="1">
      <alignment horizontal="center" vertical="center"/>
      <protection/>
    </xf>
    <xf numFmtId="2" fontId="1" fillId="3" borderId="20" xfId="27" applyNumberFormat="1" applyFont="1" applyFill="1" applyBorder="1" applyAlignment="1" applyProtection="1">
      <alignment horizontal="center" vertical="center"/>
      <protection/>
    </xf>
    <xf numFmtId="164" fontId="2" fillId="3" borderId="19" xfId="22" applyNumberFormat="1" applyFont="1" applyFill="1" applyBorder="1" applyAlignment="1" applyProtection="1">
      <alignment horizontal="right" vertical="center" wrapText="1"/>
      <protection/>
    </xf>
    <xf numFmtId="4" fontId="1" fillId="3" borderId="21" xfId="27" applyNumberFormat="1" applyFont="1" applyFill="1" applyBorder="1" applyAlignment="1" applyProtection="1">
      <alignment horizontal="center" vertical="center"/>
      <protection/>
    </xf>
    <xf numFmtId="4" fontId="1" fillId="3" borderId="19" xfId="22" applyNumberFormat="1" applyFont="1" applyFill="1" applyBorder="1" applyAlignment="1" applyProtection="1">
      <alignment horizontal="right" vertical="center" wrapText="1"/>
      <protection/>
    </xf>
    <xf numFmtId="4" fontId="1" fillId="3" borderId="22" xfId="22" applyNumberFormat="1" applyFont="1" applyFill="1" applyBorder="1" applyAlignment="1" applyProtection="1">
      <alignment horizontal="right" vertical="center" wrapText="1"/>
      <protection/>
    </xf>
    <xf numFmtId="0" fontId="13" fillId="5" borderId="23" xfId="22" applyFont="1" applyFill="1" applyBorder="1" applyAlignment="1" applyProtection="1">
      <alignment vertical="center"/>
      <protection/>
    </xf>
    <xf numFmtId="2" fontId="13" fillId="5" borderId="14" xfId="22" applyNumberFormat="1" applyFont="1" applyFill="1" applyBorder="1" applyAlignment="1" applyProtection="1">
      <alignment vertical="center"/>
      <protection/>
    </xf>
    <xf numFmtId="0" fontId="13" fillId="5" borderId="14" xfId="22" applyFont="1" applyFill="1" applyBorder="1" applyAlignment="1" applyProtection="1">
      <alignment vertical="center"/>
      <protection/>
    </xf>
    <xf numFmtId="49" fontId="1" fillId="0" borderId="16" xfId="22" applyNumberFormat="1" applyFont="1" applyFill="1" applyBorder="1" applyAlignment="1" applyProtection="1">
      <alignment horizontal="center" vertical="center"/>
      <protection/>
    </xf>
    <xf numFmtId="0" fontId="11" fillId="0" borderId="2" xfId="22" applyFont="1" applyFill="1" applyBorder="1" applyAlignment="1" applyProtection="1">
      <alignment vertical="center" wrapText="1"/>
      <protection/>
    </xf>
    <xf numFmtId="0" fontId="11" fillId="0" borderId="2" xfId="22" applyFont="1" applyFill="1" applyBorder="1" applyAlignment="1" applyProtection="1">
      <alignment horizontal="center" vertical="center" wrapText="1"/>
      <protection/>
    </xf>
    <xf numFmtId="4" fontId="1" fillId="3" borderId="2" xfId="30" applyNumberFormat="1" applyFont="1" applyFill="1" applyBorder="1" applyAlignment="1" applyProtection="1">
      <alignment horizontal="right" vertical="center"/>
      <protection/>
    </xf>
    <xf numFmtId="4" fontId="2" fillId="3" borderId="2" xfId="30" applyNumberFormat="1" applyFont="1" applyFill="1" applyBorder="1" applyAlignment="1" applyProtection="1">
      <alignment horizontal="right" vertical="center"/>
      <protection/>
    </xf>
    <xf numFmtId="2" fontId="1" fillId="3" borderId="2" xfId="30" applyNumberFormat="1" applyFont="1" applyFill="1" applyBorder="1" applyAlignment="1" applyProtection="1">
      <alignment horizontal="right" vertical="center"/>
      <protection/>
    </xf>
    <xf numFmtId="4" fontId="1" fillId="3" borderId="6" xfId="30" applyNumberFormat="1" applyFont="1" applyFill="1" applyBorder="1" applyAlignment="1" applyProtection="1">
      <alignment horizontal="right" vertical="center"/>
      <protection/>
    </xf>
    <xf numFmtId="0" fontId="11" fillId="0" borderId="2" xfId="22" applyFont="1" applyFill="1" applyBorder="1" applyAlignment="1" applyProtection="1">
      <alignment horizontal="left" vertical="center" wrapText="1" indent="1"/>
      <protection/>
    </xf>
    <xf numFmtId="2" fontId="1" fillId="3" borderId="2" xfId="27" applyNumberFormat="1" applyFont="1" applyFill="1" applyBorder="1" applyAlignment="1" applyProtection="1">
      <alignment horizontal="right" vertical="center"/>
      <protection/>
    </xf>
    <xf numFmtId="4" fontId="1" fillId="0" borderId="2" xfId="22" applyNumberFormat="1" applyFont="1" applyBorder="1" applyAlignment="1" applyProtection="1">
      <alignment vertical="center" wrapText="1"/>
      <protection/>
    </xf>
    <xf numFmtId="4" fontId="1" fillId="3" borderId="2" xfId="27" applyNumberFormat="1" applyFont="1" applyFill="1" applyBorder="1" applyAlignment="1" applyProtection="1">
      <alignment horizontal="right" vertical="center"/>
      <protection/>
    </xf>
    <xf numFmtId="0" fontId="11" fillId="0" borderId="2" xfId="22" applyFont="1" applyFill="1" applyBorder="1" applyAlignment="1" applyProtection="1">
      <alignment horizontal="left" vertical="center" indent="1"/>
      <protection/>
    </xf>
    <xf numFmtId="0" fontId="1" fillId="0" borderId="2" xfId="22" applyFont="1" applyFill="1" applyBorder="1" applyAlignment="1" applyProtection="1">
      <alignment horizontal="left" vertical="center" wrapText="1" indent="1"/>
      <protection/>
    </xf>
    <xf numFmtId="0" fontId="1" fillId="0" borderId="2" xfId="22" applyFont="1" applyFill="1" applyBorder="1" applyAlignment="1" applyProtection="1">
      <alignment horizontal="center" vertical="center" wrapText="1"/>
      <protection/>
    </xf>
    <xf numFmtId="0" fontId="15" fillId="0" borderId="2" xfId="22" applyFont="1" applyFill="1" applyBorder="1" applyAlignment="1" applyProtection="1">
      <alignment horizontal="left" vertical="center" wrapText="1" indent="2"/>
      <protection/>
    </xf>
    <xf numFmtId="4" fontId="1" fillId="2" borderId="2" xfId="30" applyNumberFormat="1" applyFont="1" applyFill="1" applyBorder="1" applyAlignment="1" applyProtection="1">
      <alignment horizontal="right" vertical="center"/>
      <protection locked="0"/>
    </xf>
    <xf numFmtId="4" fontId="2" fillId="2" borderId="2" xfId="30" applyNumberFormat="1" applyFont="1" applyFill="1" applyBorder="1" applyAlignment="1" applyProtection="1">
      <alignment horizontal="right" vertical="center"/>
      <protection locked="0"/>
    </xf>
    <xf numFmtId="43" fontId="1" fillId="0" borderId="2" xfId="28" applyFont="1" applyBorder="1" applyAlignment="1" applyProtection="1">
      <alignment vertical="center" wrapText="1"/>
      <protection/>
    </xf>
    <xf numFmtId="4" fontId="11" fillId="2" borderId="21" xfId="22" applyNumberFormat="1" applyFont="1" applyFill="1" applyBorder="1" applyAlignment="1" applyProtection="1">
      <alignment horizontal="right" vertical="center"/>
      <protection locked="0"/>
    </xf>
    <xf numFmtId="4" fontId="13" fillId="2" borderId="21" xfId="22" applyNumberFormat="1" applyFont="1" applyFill="1" applyBorder="1" applyAlignment="1" applyProtection="1">
      <alignment horizontal="right" vertical="center"/>
      <protection locked="0"/>
    </xf>
    <xf numFmtId="49" fontId="1" fillId="0" borderId="24" xfId="22" applyNumberFormat="1" applyFont="1" applyFill="1" applyBorder="1" applyAlignment="1" applyProtection="1">
      <alignment horizontal="center" vertical="center"/>
      <protection/>
    </xf>
    <xf numFmtId="49" fontId="16" fillId="0" borderId="18" xfId="22" applyNumberFormat="1" applyFont="1" applyFill="1" applyBorder="1" applyAlignment="1" applyProtection="1">
      <alignment horizontal="center" vertical="center"/>
      <protection/>
    </xf>
    <xf numFmtId="0" fontId="13" fillId="0" borderId="19" xfId="22" applyFont="1" applyFill="1" applyBorder="1" applyAlignment="1" applyProtection="1">
      <alignment vertical="center" wrapText="1"/>
      <protection/>
    </xf>
    <xf numFmtId="0" fontId="13" fillId="0" borderId="19" xfId="22" applyFont="1" applyFill="1" applyBorder="1" applyAlignment="1" applyProtection="1">
      <alignment horizontal="center" vertical="center" wrapText="1"/>
      <protection/>
    </xf>
    <xf numFmtId="4" fontId="2" fillId="3" borderId="19" xfId="30" applyNumberFormat="1" applyFont="1" applyFill="1" applyBorder="1" applyAlignment="1" applyProtection="1">
      <alignment horizontal="right" vertical="center"/>
      <protection/>
    </xf>
    <xf numFmtId="2" fontId="1" fillId="3" borderId="20" xfId="27" applyNumberFormat="1" applyFont="1" applyFill="1" applyBorder="1" applyAlignment="1" applyProtection="1">
      <alignment horizontal="right" vertical="center"/>
      <protection/>
    </xf>
    <xf numFmtId="4" fontId="1" fillId="3" borderId="20" xfId="27" applyNumberFormat="1" applyFont="1" applyFill="1" applyBorder="1" applyAlignment="1" applyProtection="1">
      <alignment horizontal="right" vertical="center"/>
      <protection/>
    </xf>
    <xf numFmtId="4" fontId="1" fillId="3" borderId="21" xfId="27" applyNumberFormat="1" applyFont="1" applyFill="1" applyBorder="1" applyAlignment="1" applyProtection="1">
      <alignment horizontal="right" vertical="center"/>
      <protection/>
    </xf>
    <xf numFmtId="4" fontId="2" fillId="3" borderId="21" xfId="30" applyNumberFormat="1" applyFont="1" applyFill="1" applyBorder="1" applyAlignment="1" applyProtection="1">
      <alignment horizontal="right" vertical="center"/>
      <protection/>
    </xf>
    <xf numFmtId="4" fontId="2" fillId="3" borderId="25" xfId="30" applyNumberFormat="1" applyFont="1" applyFill="1" applyBorder="1" applyAlignment="1" applyProtection="1">
      <alignment horizontal="right" vertical="center"/>
      <protection/>
    </xf>
    <xf numFmtId="0" fontId="1" fillId="0" borderId="21" xfId="22" applyFont="1" applyBorder="1" applyAlignment="1" applyProtection="1">
      <alignment vertical="center" wrapText="1"/>
      <protection/>
    </xf>
    <xf numFmtId="0" fontId="13" fillId="5" borderId="0" xfId="22" applyFont="1" applyFill="1" applyBorder="1" applyAlignment="1" applyProtection="1">
      <alignment vertical="center"/>
      <protection/>
    </xf>
    <xf numFmtId="0" fontId="13" fillId="5" borderId="26" xfId="22" applyFont="1" applyFill="1" applyBorder="1" applyAlignment="1" applyProtection="1">
      <alignment vertical="center"/>
      <protection/>
    </xf>
    <xf numFmtId="0" fontId="13" fillId="5" borderId="27" xfId="22" applyFont="1" applyFill="1" applyBorder="1" applyAlignment="1" applyProtection="1">
      <alignment vertical="center"/>
      <protection/>
    </xf>
    <xf numFmtId="0" fontId="1" fillId="0" borderId="13" xfId="22" applyFont="1" applyBorder="1" applyAlignment="1" applyProtection="1">
      <alignment vertical="center" wrapText="1"/>
      <protection/>
    </xf>
    <xf numFmtId="49" fontId="1" fillId="0" borderId="16" xfId="19" applyNumberFormat="1" applyFont="1" applyFill="1" applyBorder="1" applyAlignment="1" applyProtection="1">
      <alignment horizontal="center" vertical="center" wrapText="1"/>
      <protection/>
    </xf>
    <xf numFmtId="0" fontId="11" fillId="0" borderId="2" xfId="19" applyFont="1" applyFill="1" applyBorder="1" applyAlignment="1" applyProtection="1">
      <alignment horizontal="left" vertical="center" wrapText="1"/>
      <protection/>
    </xf>
    <xf numFmtId="0" fontId="11" fillId="0" borderId="2" xfId="19" applyFont="1" applyFill="1" applyBorder="1" applyAlignment="1" applyProtection="1">
      <alignment horizontal="center" vertical="center" wrapText="1"/>
      <protection/>
    </xf>
    <xf numFmtId="4" fontId="1" fillId="2" borderId="2" xfId="19" applyNumberFormat="1" applyFont="1" applyFill="1" applyBorder="1" applyAlignment="1" applyProtection="1">
      <alignment horizontal="right" vertical="center" wrapText="1"/>
      <protection locked="0"/>
    </xf>
    <xf numFmtId="4" fontId="2" fillId="2" borderId="2" xfId="19" applyNumberFormat="1" applyFont="1" applyFill="1" applyBorder="1" applyAlignment="1" applyProtection="1">
      <alignment horizontal="right" vertical="center" wrapText="1"/>
      <protection locked="0"/>
    </xf>
    <xf numFmtId="4" fontId="1" fillId="2" borderId="15" xfId="19" applyNumberFormat="1" applyFont="1" applyFill="1" applyBorder="1" applyAlignment="1" applyProtection="1">
      <alignment horizontal="right" vertical="center" wrapText="1"/>
      <protection locked="0"/>
    </xf>
    <xf numFmtId="4" fontId="1" fillId="2" borderId="28" xfId="19" applyNumberFormat="1" applyFont="1" applyFill="1" applyBorder="1" applyAlignment="1" applyProtection="1">
      <alignment horizontal="right" vertical="center" wrapText="1"/>
      <protection locked="0"/>
    </xf>
    <xf numFmtId="4" fontId="11" fillId="2" borderId="2" xfId="19" applyNumberFormat="1" applyFont="1" applyFill="1" applyBorder="1" applyAlignment="1" applyProtection="1">
      <alignment horizontal="right" vertical="center" wrapText="1"/>
      <protection locked="0"/>
    </xf>
    <xf numFmtId="4" fontId="13" fillId="2" borderId="2" xfId="19" applyNumberFormat="1" applyFont="1" applyFill="1" applyBorder="1" applyAlignment="1" applyProtection="1">
      <alignment horizontal="right" vertical="center" wrapText="1"/>
      <protection locked="0"/>
    </xf>
    <xf numFmtId="4" fontId="11" fillId="2" borderId="17" xfId="19" applyNumberFormat="1" applyFont="1" applyFill="1" applyBorder="1" applyAlignment="1" applyProtection="1">
      <alignment horizontal="right" vertical="center" wrapText="1"/>
      <protection locked="0"/>
    </xf>
    <xf numFmtId="4" fontId="1" fillId="2" borderId="17" xfId="30" applyNumberFormat="1" applyFont="1" applyFill="1" applyBorder="1" applyAlignment="1" applyProtection="1">
      <alignment horizontal="right" vertical="center"/>
      <protection locked="0"/>
    </xf>
    <xf numFmtId="4" fontId="1" fillId="3" borderId="2" xfId="31" applyNumberFormat="1" applyFont="1" applyFill="1" applyBorder="1" applyAlignment="1" applyProtection="1">
      <alignment horizontal="right" vertical="center"/>
      <protection/>
    </xf>
    <xf numFmtId="4" fontId="2" fillId="3" borderId="2" xfId="31" applyNumberFormat="1" applyFont="1" applyFill="1" applyBorder="1" applyAlignment="1" applyProtection="1">
      <alignment horizontal="right" vertical="center"/>
      <protection/>
    </xf>
    <xf numFmtId="4" fontId="1" fillId="3" borderId="17" xfId="31" applyNumberFormat="1" applyFont="1" applyFill="1" applyBorder="1" applyAlignment="1" applyProtection="1">
      <alignment horizontal="right" vertical="center"/>
      <protection/>
    </xf>
    <xf numFmtId="0" fontId="15" fillId="0" borderId="2" xfId="22" applyFont="1" applyFill="1" applyBorder="1" applyAlignment="1" applyProtection="1">
      <alignment horizontal="left" vertical="center" wrapText="1" indent="1"/>
      <protection/>
    </xf>
    <xf numFmtId="4" fontId="1" fillId="2" borderId="2" xfId="31" applyNumberFormat="1" applyFont="1" applyFill="1" applyBorder="1" applyAlignment="1" applyProtection="1">
      <alignment horizontal="right" vertical="center"/>
      <protection locked="0"/>
    </xf>
    <xf numFmtId="4" fontId="2" fillId="2" borderId="2" xfId="31" applyNumberFormat="1" applyFont="1" applyFill="1" applyBorder="1" applyAlignment="1" applyProtection="1">
      <alignment horizontal="right" vertical="center"/>
      <protection locked="0"/>
    </xf>
    <xf numFmtId="4" fontId="1" fillId="2" borderId="17" xfId="31" applyNumberFormat="1" applyFont="1" applyFill="1" applyBorder="1" applyAlignment="1" applyProtection="1">
      <alignment horizontal="right" vertical="center"/>
      <protection locked="0"/>
    </xf>
    <xf numFmtId="0" fontId="17" fillId="0" borderId="2" xfId="22" applyFont="1" applyFill="1" applyBorder="1" applyAlignment="1" applyProtection="1">
      <alignment horizontal="left" vertical="center" wrapText="1" indent="1"/>
      <protection/>
    </xf>
    <xf numFmtId="4" fontId="1" fillId="3" borderId="29" xfId="31" applyNumberFormat="1" applyFont="1" applyFill="1" applyBorder="1" applyAlignment="1" applyProtection="1">
      <alignment horizontal="right" vertical="center"/>
      <protection/>
    </xf>
    <xf numFmtId="0" fontId="11" fillId="0" borderId="21" xfId="19" applyFont="1" applyFill="1" applyBorder="1" applyAlignment="1" applyProtection="1">
      <alignment horizontal="left" vertical="center" wrapText="1"/>
      <protection/>
    </xf>
    <xf numFmtId="4" fontId="1" fillId="2" borderId="21" xfId="30" applyNumberFormat="1" applyFont="1" applyFill="1" applyBorder="1" applyAlignment="1" applyProtection="1">
      <alignment horizontal="right" vertical="center"/>
      <protection locked="0"/>
    </xf>
    <xf numFmtId="4" fontId="2" fillId="2" borderId="21" xfId="30" applyNumberFormat="1" applyFont="1" applyFill="1" applyBorder="1" applyAlignment="1" applyProtection="1">
      <alignment horizontal="right" vertical="center"/>
      <protection locked="0"/>
    </xf>
    <xf numFmtId="2" fontId="1" fillId="3" borderId="21" xfId="27" applyNumberFormat="1" applyFont="1" applyFill="1" applyBorder="1" applyAlignment="1" applyProtection="1">
      <alignment horizontal="right" vertical="center"/>
      <protection/>
    </xf>
    <xf numFmtId="4" fontId="1" fillId="2" borderId="25" xfId="30" applyNumberFormat="1" applyFont="1" applyFill="1" applyBorder="1" applyAlignment="1" applyProtection="1">
      <alignment horizontal="right" vertical="center"/>
      <protection locked="0"/>
    </xf>
    <xf numFmtId="49" fontId="13" fillId="0" borderId="18" xfId="22" applyNumberFormat="1" applyFont="1" applyFill="1" applyBorder="1" applyAlignment="1" applyProtection="1">
      <alignment horizontal="center" vertical="center"/>
      <protection/>
    </xf>
    <xf numFmtId="4" fontId="2" fillId="3" borderId="22" xfId="30" applyNumberFormat="1" applyFont="1" applyFill="1" applyBorder="1" applyAlignment="1" applyProtection="1">
      <alignment horizontal="right" vertical="center"/>
      <protection/>
    </xf>
    <xf numFmtId="0" fontId="2" fillId="5" borderId="23" xfId="24" applyNumberFormat="1" applyFont="1" applyFill="1" applyBorder="1" applyAlignment="1" applyProtection="1">
      <alignment vertical="center" wrapText="1"/>
      <protection/>
    </xf>
    <xf numFmtId="2" fontId="2" fillId="5" borderId="14" xfId="24" applyNumberFormat="1" applyFont="1" applyFill="1" applyBorder="1" applyAlignment="1" applyProtection="1">
      <alignment vertical="center" wrapText="1"/>
      <protection/>
    </xf>
    <xf numFmtId="0" fontId="2" fillId="5" borderId="14" xfId="24" applyNumberFormat="1" applyFont="1" applyFill="1" applyBorder="1" applyAlignment="1" applyProtection="1">
      <alignment vertical="center" wrapText="1"/>
      <protection/>
    </xf>
    <xf numFmtId="0" fontId="1" fillId="0" borderId="30" xfId="22" applyFont="1" applyBorder="1" applyAlignment="1" applyProtection="1">
      <alignment vertical="center" wrapText="1"/>
      <protection/>
    </xf>
    <xf numFmtId="4" fontId="2" fillId="3" borderId="20" xfId="30" applyNumberFormat="1" applyFont="1" applyFill="1" applyBorder="1" applyAlignment="1" applyProtection="1">
      <alignment horizontal="right" vertical="center"/>
      <protection/>
    </xf>
    <xf numFmtId="49" fontId="2" fillId="0" borderId="24" xfId="22" applyNumberFormat="1" applyFont="1" applyBorder="1" applyAlignment="1" applyProtection="1">
      <alignment horizontal="center" vertical="center"/>
      <protection/>
    </xf>
    <xf numFmtId="0" fontId="2" fillId="0" borderId="21" xfId="22" applyFont="1" applyBorder="1" applyAlignment="1" applyProtection="1">
      <alignment vertical="center"/>
      <protection/>
    </xf>
    <xf numFmtId="0" fontId="13" fillId="0" borderId="21" xfId="22" applyFont="1" applyFill="1" applyBorder="1" applyAlignment="1" applyProtection="1">
      <alignment horizontal="center" vertical="center" wrapText="1"/>
      <protection/>
    </xf>
    <xf numFmtId="4" fontId="2" fillId="3" borderId="21" xfId="22" applyNumberFormat="1" applyFont="1" applyFill="1" applyBorder="1" applyAlignment="1" applyProtection="1">
      <alignment vertical="center"/>
      <protection/>
    </xf>
    <xf numFmtId="4" fontId="2" fillId="3" borderId="25" xfId="22" applyNumberFormat="1" applyFont="1" applyFill="1" applyBorder="1" applyAlignment="1" applyProtection="1">
      <alignment vertical="center"/>
      <protection/>
    </xf>
    <xf numFmtId="0" fontId="1" fillId="0" borderId="31" xfId="22" applyFont="1" applyBorder="1" applyAlignment="1" applyProtection="1">
      <alignment vertical="center" wrapText="1"/>
      <protection/>
    </xf>
    <xf numFmtId="0" fontId="1" fillId="4" borderId="2" xfId="22" applyFont="1" applyFill="1" applyBorder="1" applyAlignment="1" applyProtection="1">
      <alignment vertical="center"/>
      <protection/>
    </xf>
    <xf numFmtId="0" fontId="2" fillId="4" borderId="2" xfId="22" applyFont="1" applyFill="1" applyBorder="1" applyAlignment="1" applyProtection="1">
      <alignment vertical="center"/>
      <protection/>
    </xf>
    <xf numFmtId="4" fontId="1" fillId="4" borderId="2" xfId="22" applyNumberFormat="1" applyFont="1" applyFill="1" applyBorder="1" applyAlignment="1" applyProtection="1">
      <alignment vertical="center"/>
      <protection/>
    </xf>
    <xf numFmtId="0" fontId="1" fillId="0" borderId="2" xfId="22" applyFont="1" applyBorder="1" applyAlignment="1" applyProtection="1">
      <alignment vertical="center"/>
      <protection/>
    </xf>
    <xf numFmtId="4" fontId="1" fillId="0" borderId="2" xfId="22" applyNumberFormat="1" applyFont="1" applyBorder="1" applyAlignment="1" applyProtection="1">
      <alignment vertical="center"/>
      <protection/>
    </xf>
    <xf numFmtId="4" fontId="2" fillId="0" borderId="2" xfId="22" applyNumberFormat="1" applyFont="1" applyBorder="1" applyAlignment="1" applyProtection="1">
      <alignment vertical="center"/>
      <protection/>
    </xf>
    <xf numFmtId="168" fontId="1" fillId="0" borderId="2" xfId="22" applyNumberFormat="1" applyFont="1" applyBorder="1" applyAlignment="1" applyProtection="1">
      <alignment vertical="center"/>
      <protection/>
    </xf>
    <xf numFmtId="10" fontId="1" fillId="0" borderId="2" xfId="26" applyNumberFormat="1" applyFont="1" applyBorder="1" applyAlignment="1" applyProtection="1">
      <alignment vertical="center"/>
      <protection/>
    </xf>
    <xf numFmtId="0" fontId="2" fillId="0" borderId="2" xfId="22" applyFont="1" applyBorder="1" applyAlignment="1" applyProtection="1">
      <alignment vertical="center"/>
      <protection/>
    </xf>
    <xf numFmtId="10" fontId="1" fillId="0" borderId="2" xfId="22" applyNumberFormat="1" applyFont="1" applyBorder="1" applyAlignment="1" applyProtection="1">
      <alignment vertical="center"/>
      <protection/>
    </xf>
    <xf numFmtId="10" fontId="2" fillId="0" borderId="2" xfId="22" applyNumberFormat="1" applyFont="1" applyBorder="1" applyAlignment="1" applyProtection="1">
      <alignment vertical="center"/>
      <protection/>
    </xf>
    <xf numFmtId="167" fontId="1" fillId="0" borderId="2" xfId="22" applyNumberFormat="1" applyFont="1" applyBorder="1" applyAlignment="1" applyProtection="1">
      <alignment vertical="center"/>
      <protection/>
    </xf>
    <xf numFmtId="167" fontId="2" fillId="0" borderId="2" xfId="22" applyNumberFormat="1" applyFont="1" applyBorder="1" applyAlignment="1" applyProtection="1">
      <alignment vertical="center"/>
      <protection/>
    </xf>
    <xf numFmtId="1" fontId="1" fillId="0" borderId="2" xfId="22" applyNumberFormat="1" applyFont="1" applyBorder="1" applyAlignment="1" applyProtection="1">
      <alignment vertical="center"/>
      <protection/>
    </xf>
    <xf numFmtId="169" fontId="1" fillId="0" borderId="2" xfId="22" applyNumberFormat="1" applyFont="1" applyBorder="1" applyAlignment="1" applyProtection="1">
      <alignment vertical="center"/>
      <protection/>
    </xf>
    <xf numFmtId="1" fontId="2" fillId="0" borderId="2" xfId="22" applyNumberFormat="1" applyFont="1" applyBorder="1" applyAlignment="1" applyProtection="1">
      <alignment vertical="center"/>
      <protection/>
    </xf>
    <xf numFmtId="0" fontId="2" fillId="0" borderId="0" xfId="22" applyFont="1" applyAlignment="1" applyProtection="1">
      <alignment vertical="center"/>
      <protection/>
    </xf>
    <xf numFmtId="0" fontId="1" fillId="0" borderId="2" xfId="22" applyFont="1" applyBorder="1" applyAlignment="1" applyProtection="1">
      <alignment horizontal="center" vertical="center"/>
      <protection/>
    </xf>
    <xf numFmtId="0" fontId="2" fillId="0" borderId="2" xfId="22" applyFont="1" applyBorder="1" applyAlignment="1" applyProtection="1">
      <alignment horizontal="center" vertical="center"/>
      <protection/>
    </xf>
    <xf numFmtId="10" fontId="1" fillId="0" borderId="2" xfId="26" applyNumberFormat="1" applyFont="1" applyBorder="1" applyAlignment="1" applyProtection="1">
      <alignment horizontal="center" vertical="center"/>
      <protection/>
    </xf>
    <xf numFmtId="4" fontId="1" fillId="2" borderId="2" xfId="22" applyNumberFormat="1" applyFont="1" applyFill="1" applyBorder="1" applyAlignment="1" applyProtection="1">
      <alignment horizontal="right" vertical="center"/>
      <protection locked="0"/>
    </xf>
    <xf numFmtId="49" fontId="1" fillId="4" borderId="0" xfId="0" applyNumberFormat="1" applyFont="1" applyFill="1" applyAlignment="1" applyProtection="1">
      <alignment/>
      <protection/>
    </xf>
    <xf numFmtId="0" fontId="1" fillId="4" borderId="0" xfId="0" applyNumberFormat="1" applyFont="1" applyFill="1" applyAlignment="1" applyProtection="1">
      <alignment/>
      <protection/>
    </xf>
    <xf numFmtId="0" fontId="1" fillId="4" borderId="0" xfId="0" applyNumberFormat="1" applyFont="1" applyFill="1" applyAlignment="1" applyProtection="1">
      <alignment vertical="center"/>
      <protection/>
    </xf>
    <xf numFmtId="49" fontId="19" fillId="4" borderId="0" xfId="15" applyNumberFormat="1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49" fontId="13" fillId="0" borderId="32" xfId="0" applyNumberFormat="1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 applyProtection="1">
      <alignment horizontal="center" vertical="center" wrapText="1"/>
      <protection/>
    </xf>
    <xf numFmtId="0" fontId="1" fillId="5" borderId="37" xfId="0" applyFont="1" applyFill="1" applyBorder="1" applyAlignment="1" applyProtection="1">
      <alignment/>
      <protection/>
    </xf>
    <xf numFmtId="0" fontId="1" fillId="5" borderId="38" xfId="0" applyNumberFormat="1" applyFont="1" applyFill="1" applyBorder="1" applyAlignment="1" applyProtection="1">
      <alignment vertical="center"/>
      <protection/>
    </xf>
    <xf numFmtId="0" fontId="1" fillId="5" borderId="14" xfId="0" applyNumberFormat="1" applyFont="1" applyFill="1" applyBorder="1" applyAlignment="1" applyProtection="1">
      <alignment horizontal="center" vertical="center"/>
      <protection/>
    </xf>
    <xf numFmtId="0" fontId="1" fillId="5" borderId="39" xfId="0" applyNumberFormat="1" applyFont="1" applyFill="1" applyBorder="1" applyAlignment="1" applyProtection="1">
      <alignment horizontal="center" vertical="center"/>
      <protection/>
    </xf>
    <xf numFmtId="0" fontId="1" fillId="4" borderId="0" xfId="0" applyNumberFormat="1" applyFont="1" applyFill="1" applyBorder="1" applyAlignment="1" applyProtection="1">
      <alignment/>
      <protection/>
    </xf>
    <xf numFmtId="49" fontId="1" fillId="0" borderId="40" xfId="0" applyNumberFormat="1" applyFont="1" applyFill="1" applyBorder="1" applyAlignment="1" applyProtection="1">
      <alignment horizontal="center" vertical="center"/>
      <protection/>
    </xf>
    <xf numFmtId="49" fontId="13" fillId="0" borderId="41" xfId="0" applyNumberFormat="1" applyFont="1" applyBorder="1" applyAlignment="1" applyProtection="1">
      <alignment horizontal="left" vertical="center" wrapText="1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10" fontId="13" fillId="2" borderId="43" xfId="0" applyNumberFormat="1" applyFont="1" applyFill="1" applyBorder="1" applyAlignment="1" applyProtection="1">
      <alignment horizontal="right" vertical="center"/>
      <protection locked="0"/>
    </xf>
    <xf numFmtId="10" fontId="13" fillId="2" borderId="15" xfId="0" applyNumberFormat="1" applyFont="1" applyFill="1" applyBorder="1" applyAlignment="1" applyProtection="1">
      <alignment horizontal="right" vertical="center"/>
      <protection locked="0"/>
    </xf>
    <xf numFmtId="10" fontId="13" fillId="2" borderId="44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Border="1" applyAlignment="1" applyProtection="1">
      <alignment horizontal="left" vertical="center" wrapText="1"/>
      <protection/>
    </xf>
    <xf numFmtId="0" fontId="13" fillId="0" borderId="46" xfId="0" applyFont="1" applyFill="1" applyBorder="1" applyAlignment="1" applyProtection="1">
      <alignment horizontal="center" vertical="center"/>
      <protection/>
    </xf>
    <xf numFmtId="49" fontId="13" fillId="0" borderId="45" xfId="0" applyNumberFormat="1" applyFont="1" applyFill="1" applyBorder="1" applyAlignment="1" applyProtection="1">
      <alignment horizontal="left" vertical="center" wrapText="1"/>
      <protection/>
    </xf>
    <xf numFmtId="4" fontId="13" fillId="3" borderId="16" xfId="0" applyNumberFormat="1" applyFont="1" applyFill="1" applyBorder="1" applyAlignment="1" applyProtection="1">
      <alignment horizontal="right" vertical="center"/>
      <protection/>
    </xf>
    <xf numFmtId="4" fontId="13" fillId="3" borderId="2" xfId="0" applyNumberFormat="1" applyFont="1" applyFill="1" applyBorder="1" applyAlignment="1" applyProtection="1">
      <alignment horizontal="right" vertical="center"/>
      <protection/>
    </xf>
    <xf numFmtId="4" fontId="13" fillId="3" borderId="29" xfId="0" applyNumberFormat="1" applyFont="1" applyFill="1" applyBorder="1" applyAlignment="1" applyProtection="1">
      <alignment horizontal="right" vertical="center"/>
      <protection/>
    </xf>
    <xf numFmtId="49" fontId="11" fillId="0" borderId="45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4" fontId="11" fillId="6" borderId="16" xfId="0" applyNumberFormat="1" applyFont="1" applyFill="1" applyBorder="1" applyAlignment="1" applyProtection="1">
      <alignment horizontal="right" vertical="center"/>
      <protection locked="0"/>
    </xf>
    <xf numFmtId="4" fontId="11" fillId="6" borderId="2" xfId="0" applyNumberFormat="1" applyFont="1" applyFill="1" applyBorder="1" applyAlignment="1" applyProtection="1">
      <alignment horizontal="right" vertical="center"/>
      <protection locked="0"/>
    </xf>
    <xf numFmtId="4" fontId="11" fillId="6" borderId="29" xfId="0" applyNumberFormat="1" applyFont="1" applyFill="1" applyBorder="1" applyAlignment="1" applyProtection="1">
      <alignment horizontal="right" vertical="center"/>
      <protection locked="0"/>
    </xf>
    <xf numFmtId="49" fontId="0" fillId="0" borderId="47" xfId="0" applyNumberFormat="1" applyFont="1" applyFill="1" applyBorder="1" applyAlignment="1" applyProtection="1">
      <alignment horizontal="center" vertical="center"/>
      <protection/>
    </xf>
    <xf numFmtId="0" fontId="13" fillId="0" borderId="48" xfId="0" applyFont="1" applyFill="1" applyBorder="1" applyAlignment="1" applyProtection="1">
      <alignment horizontal="left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4" fontId="13" fillId="2" borderId="50" xfId="0" applyNumberFormat="1" applyFont="1" applyFill="1" applyBorder="1" applyAlignment="1" applyProtection="1">
      <alignment horizontal="right" vertical="center"/>
      <protection locked="0"/>
    </xf>
    <xf numFmtId="4" fontId="13" fillId="3" borderId="20" xfId="0" applyNumberFormat="1" applyFont="1" applyFill="1" applyBorder="1" applyAlignment="1" applyProtection="1">
      <alignment horizontal="right" vertical="center"/>
      <protection/>
    </xf>
    <xf numFmtId="4" fontId="13" fillId="3" borderId="51" xfId="0" applyNumberFormat="1" applyFont="1" applyFill="1" applyBorder="1" applyAlignment="1" applyProtection="1">
      <alignment horizontal="right" vertical="center"/>
      <protection/>
    </xf>
    <xf numFmtId="49" fontId="0" fillId="0" borderId="52" xfId="0" applyNumberFormat="1" applyFont="1" applyFill="1" applyBorder="1" applyAlignment="1" applyProtection="1">
      <alignment horizontal="center" vertical="center"/>
      <protection/>
    </xf>
    <xf numFmtId="49" fontId="13" fillId="0" borderId="53" xfId="0" applyNumberFormat="1" applyFont="1" applyFill="1" applyBorder="1" applyAlignment="1" applyProtection="1">
      <alignment horizontal="left" vertical="center" wrapText="1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10" fontId="13" fillId="2" borderId="16" xfId="0" applyNumberFormat="1" applyFont="1" applyFill="1" applyBorder="1" applyAlignment="1" applyProtection="1">
      <alignment horizontal="right" vertical="center"/>
      <protection locked="0"/>
    </xf>
    <xf numFmtId="10" fontId="13" fillId="3" borderId="2" xfId="0" applyNumberFormat="1" applyFont="1" applyFill="1" applyBorder="1" applyAlignment="1" applyProtection="1">
      <alignment horizontal="right" vertical="center"/>
      <protection/>
    </xf>
    <xf numFmtId="10" fontId="13" fillId="2" borderId="2" xfId="0" applyNumberFormat="1" applyFont="1" applyFill="1" applyBorder="1" applyAlignment="1" applyProtection="1">
      <alignment horizontal="right" vertical="center"/>
      <protection locked="0"/>
    </xf>
    <xf numFmtId="10" fontId="13" fillId="3" borderId="29" xfId="0" applyNumberFormat="1" applyFont="1" applyFill="1" applyBorder="1" applyAlignment="1" applyProtection="1">
      <alignment horizontal="right" vertical="center"/>
      <protection/>
    </xf>
    <xf numFmtId="49" fontId="1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56" xfId="0" applyFont="1" applyBorder="1" applyAlignment="1" applyProtection="1">
      <alignment horizontal="left" vertical="center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1" fillId="0" borderId="58" xfId="0" applyFont="1" applyBorder="1" applyAlignment="1" applyProtection="1">
      <alignment horizontal="right" vertical="center"/>
      <protection/>
    </xf>
    <xf numFmtId="164" fontId="13" fillId="3" borderId="59" xfId="0" applyNumberFormat="1" applyFont="1" applyFill="1" applyBorder="1" applyAlignment="1" applyProtection="1">
      <alignment horizontal="right" vertical="center"/>
      <protection/>
    </xf>
    <xf numFmtId="164" fontId="13" fillId="3" borderId="60" xfId="0" applyNumberFormat="1" applyFont="1" applyFill="1" applyBorder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vertical="top"/>
      <protection/>
    </xf>
    <xf numFmtId="0" fontId="13" fillId="5" borderId="61" xfId="0" applyFont="1" applyFill="1" applyBorder="1" applyAlignment="1" applyProtection="1">
      <alignment vertical="top"/>
      <protection/>
    </xf>
    <xf numFmtId="0" fontId="13" fillId="5" borderId="23" xfId="0" applyFont="1" applyFill="1" applyBorder="1" applyAlignment="1" applyProtection="1">
      <alignment vertical="top"/>
      <protection/>
    </xf>
    <xf numFmtId="0" fontId="13" fillId="5" borderId="37" xfId="0" applyFont="1" applyFill="1" applyBorder="1" applyAlignment="1" applyProtection="1">
      <alignment vertical="top"/>
      <protection/>
    </xf>
    <xf numFmtId="0" fontId="13" fillId="5" borderId="62" xfId="0" applyNumberFormat="1" applyFont="1" applyFill="1" applyBorder="1" applyAlignment="1" applyProtection="1">
      <alignment vertical="center"/>
      <protection/>
    </xf>
    <xf numFmtId="0" fontId="13" fillId="5" borderId="23" xfId="0" applyNumberFormat="1" applyFont="1" applyFill="1" applyBorder="1" applyAlignment="1" applyProtection="1">
      <alignment vertical="center"/>
      <protection/>
    </xf>
    <xf numFmtId="0" fontId="2" fillId="5" borderId="23" xfId="0" applyNumberFormat="1" applyFont="1" applyFill="1" applyBorder="1" applyAlignment="1" applyProtection="1">
      <alignment vertical="center"/>
      <protection/>
    </xf>
    <xf numFmtId="0" fontId="2" fillId="5" borderId="63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11" fillId="0" borderId="64" xfId="0" applyFont="1" applyFill="1" applyBorder="1" applyAlignment="1" applyProtection="1">
      <alignment horizontal="center" vertical="center" wrapText="1"/>
      <protection/>
    </xf>
    <xf numFmtId="170" fontId="11" fillId="3" borderId="43" xfId="0" applyNumberFormat="1" applyFont="1" applyFill="1" applyBorder="1" applyAlignment="1" applyProtection="1">
      <alignment horizontal="right" vertical="center"/>
      <protection/>
    </xf>
    <xf numFmtId="170" fontId="11" fillId="3" borderId="15" xfId="0" applyNumberFormat="1" applyFont="1" applyFill="1" applyBorder="1" applyAlignment="1" applyProtection="1">
      <alignment horizontal="right" vertical="center"/>
      <protection/>
    </xf>
    <xf numFmtId="170" fontId="11" fillId="4" borderId="15" xfId="0" applyNumberFormat="1" applyFont="1" applyFill="1" applyBorder="1" applyAlignment="1" applyProtection="1">
      <alignment horizontal="right" vertical="center"/>
      <protection/>
    </xf>
    <xf numFmtId="170" fontId="11" fillId="4" borderId="44" xfId="0" applyNumberFormat="1" applyFont="1" applyFill="1" applyBorder="1" applyAlignment="1" applyProtection="1">
      <alignment horizontal="right" vertical="center"/>
      <protection/>
    </xf>
    <xf numFmtId="49" fontId="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" xfId="0" applyFont="1" applyFill="1" applyBorder="1" applyAlignment="1" applyProtection="1">
      <alignment horizontal="left" vertical="center" wrapText="1" indent="1"/>
      <protection/>
    </xf>
    <xf numFmtId="0" fontId="11" fillId="0" borderId="29" xfId="0" applyFont="1" applyFill="1" applyBorder="1" applyAlignment="1" applyProtection="1">
      <alignment horizontal="center" vertical="center" wrapText="1"/>
      <protection/>
    </xf>
    <xf numFmtId="170" fontId="1" fillId="2" borderId="16" xfId="0" applyNumberFormat="1" applyFont="1" applyFill="1" applyBorder="1" applyAlignment="1" applyProtection="1">
      <alignment horizontal="right" vertical="center"/>
      <protection locked="0"/>
    </xf>
    <xf numFmtId="170" fontId="1" fillId="2" borderId="2" xfId="0" applyNumberFormat="1" applyFont="1" applyFill="1" applyBorder="1" applyAlignment="1" applyProtection="1">
      <alignment horizontal="right" vertical="center"/>
      <protection locked="0"/>
    </xf>
    <xf numFmtId="170" fontId="1" fillId="4" borderId="2" xfId="0" applyNumberFormat="1" applyFont="1" applyFill="1" applyBorder="1" applyAlignment="1" applyProtection="1">
      <alignment horizontal="right" vertical="center"/>
      <protection/>
    </xf>
    <xf numFmtId="170" fontId="1" fillId="4" borderId="66" xfId="0" applyNumberFormat="1" applyFont="1" applyFill="1" applyBorder="1" applyAlignment="1" applyProtection="1">
      <alignment horizontal="right" vertical="center"/>
      <protection/>
    </xf>
    <xf numFmtId="0" fontId="11" fillId="0" borderId="2" xfId="0" applyFont="1" applyFill="1" applyBorder="1" applyAlignment="1" applyProtection="1">
      <alignment vertical="center" wrapText="1"/>
      <protection/>
    </xf>
    <xf numFmtId="170" fontId="11" fillId="3" borderId="16" xfId="0" applyNumberFormat="1" applyFont="1" applyFill="1" applyBorder="1" applyAlignment="1" applyProtection="1">
      <alignment horizontal="right" vertical="center"/>
      <protection/>
    </xf>
    <xf numFmtId="170" fontId="11" fillId="3" borderId="2" xfId="0" applyNumberFormat="1" applyFont="1" applyFill="1" applyBorder="1" applyAlignment="1" applyProtection="1">
      <alignment horizontal="right" vertical="center"/>
      <protection/>
    </xf>
    <xf numFmtId="170" fontId="11" fillId="4" borderId="2" xfId="0" applyNumberFormat="1" applyFont="1" applyFill="1" applyBorder="1" applyAlignment="1" applyProtection="1">
      <alignment horizontal="right" vertical="center"/>
      <protection/>
    </xf>
    <xf numFmtId="170" fontId="11" fillId="4" borderId="66" xfId="0" applyNumberFormat="1" applyFont="1" applyFill="1" applyBorder="1" applyAlignment="1" applyProtection="1">
      <alignment horizontal="right" vertical="center"/>
      <protection/>
    </xf>
    <xf numFmtId="0" fontId="11" fillId="0" borderId="2" xfId="0" applyFont="1" applyFill="1" applyBorder="1" applyAlignment="1" applyProtection="1">
      <alignment horizontal="left" vertical="center" indent="1"/>
      <protection/>
    </xf>
    <xf numFmtId="0" fontId="1" fillId="0" borderId="2" xfId="0" applyFont="1" applyFill="1" applyBorder="1" applyAlignment="1" applyProtection="1">
      <alignment horizontal="left" vertical="center" wrapText="1" inden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170" fontId="1" fillId="3" borderId="16" xfId="0" applyNumberFormat="1" applyFont="1" applyFill="1" applyBorder="1" applyAlignment="1" applyProtection="1">
      <alignment horizontal="right" vertical="center"/>
      <protection/>
    </xf>
    <xf numFmtId="170" fontId="1" fillId="3" borderId="2" xfId="0" applyNumberFormat="1" applyFont="1" applyFill="1" applyBorder="1" applyAlignment="1" applyProtection="1">
      <alignment horizontal="right" vertical="center"/>
      <protection/>
    </xf>
    <xf numFmtId="0" fontId="11" fillId="0" borderId="2" xfId="0" applyFont="1" applyFill="1" applyBorder="1" applyAlignment="1" applyProtection="1">
      <alignment horizontal="left" vertical="center" wrapText="1" indent="2"/>
      <protection/>
    </xf>
    <xf numFmtId="3" fontId="11" fillId="0" borderId="2" xfId="0" applyNumberFormat="1" applyFont="1" applyFill="1" applyBorder="1" applyAlignment="1" applyProtection="1">
      <alignment horizontal="left" vertical="center" wrapText="1" indent="2"/>
      <protection/>
    </xf>
    <xf numFmtId="0" fontId="1" fillId="0" borderId="0" xfId="0" applyNumberFormat="1" applyFont="1" applyFill="1" applyAlignment="1" applyProtection="1">
      <alignment/>
      <protection/>
    </xf>
    <xf numFmtId="49" fontId="16" fillId="0" borderId="67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vertical="center" wrapText="1"/>
      <protection/>
    </xf>
    <xf numFmtId="0" fontId="13" fillId="0" borderId="68" xfId="0" applyFont="1" applyFill="1" applyBorder="1" applyAlignment="1" applyProtection="1">
      <alignment horizontal="center" vertical="center" wrapText="1"/>
      <protection/>
    </xf>
    <xf numFmtId="170" fontId="2" fillId="3" borderId="18" xfId="0" applyNumberFormat="1" applyFont="1" applyFill="1" applyBorder="1" applyAlignment="1" applyProtection="1">
      <alignment horizontal="right" vertical="center"/>
      <protection/>
    </xf>
    <xf numFmtId="170" fontId="2" fillId="3" borderId="19" xfId="0" applyNumberFormat="1" applyFont="1" applyFill="1" applyBorder="1" applyAlignment="1" applyProtection="1">
      <alignment horizontal="right" vertical="center"/>
      <protection/>
    </xf>
    <xf numFmtId="170" fontId="2" fillId="6" borderId="19" xfId="0" applyNumberFormat="1" applyFont="1" applyFill="1" applyBorder="1" applyAlignment="1" applyProtection="1">
      <alignment horizontal="right" vertical="center"/>
      <protection locked="0"/>
    </xf>
    <xf numFmtId="170" fontId="2" fillId="3" borderId="20" xfId="0" applyNumberFormat="1" applyFont="1" applyFill="1" applyBorder="1" applyAlignment="1" applyProtection="1">
      <alignment horizontal="right" vertical="center"/>
      <protection/>
    </xf>
    <xf numFmtId="170" fontId="2" fillId="3" borderId="68" xfId="0" applyNumberFormat="1" applyFont="1" applyFill="1" applyBorder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horizontal="center" vertical="top"/>
      <protection/>
    </xf>
    <xf numFmtId="0" fontId="1" fillId="0" borderId="15" xfId="0" applyNumberFormat="1" applyFont="1" applyFill="1" applyBorder="1" applyAlignment="1" applyProtection="1">
      <alignment horizontal="right" vertical="center"/>
      <protection/>
    </xf>
    <xf numFmtId="0" fontId="13" fillId="5" borderId="61" xfId="0" applyFont="1" applyFill="1" applyBorder="1" applyAlignment="1" applyProtection="1">
      <alignment horizontal="left" vertical="top"/>
      <protection/>
    </xf>
    <xf numFmtId="0" fontId="2" fillId="5" borderId="62" xfId="0" applyFont="1" applyFill="1" applyBorder="1" applyAlignment="1" applyProtection="1">
      <alignment/>
      <protection/>
    </xf>
    <xf numFmtId="0" fontId="2" fillId="5" borderId="37" xfId="0" applyFont="1" applyFill="1" applyBorder="1" applyAlignment="1" applyProtection="1">
      <alignment/>
      <protection/>
    </xf>
    <xf numFmtId="0" fontId="2" fillId="5" borderId="69" xfId="0" applyNumberFormat="1" applyFont="1" applyFill="1" applyBorder="1" applyAlignment="1" applyProtection="1">
      <alignment vertical="center"/>
      <protection/>
    </xf>
    <xf numFmtId="0" fontId="2" fillId="5" borderId="70" xfId="0" applyNumberFormat="1" applyFont="1" applyFill="1" applyBorder="1" applyAlignment="1" applyProtection="1">
      <alignment vertical="center"/>
      <protection/>
    </xf>
    <xf numFmtId="0" fontId="2" fillId="5" borderId="71" xfId="0" applyNumberFormat="1" applyFont="1" applyFill="1" applyBorder="1" applyAlignment="1" applyProtection="1">
      <alignment vertical="center"/>
      <protection/>
    </xf>
    <xf numFmtId="49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left" vertical="center" wrapText="1"/>
      <protection/>
    </xf>
    <xf numFmtId="170" fontId="11" fillId="2" borderId="72" xfId="0" applyNumberFormat="1" applyFont="1" applyFill="1" applyBorder="1" applyAlignment="1" applyProtection="1">
      <alignment horizontal="right" vertical="center"/>
      <protection locked="0"/>
    </xf>
    <xf numFmtId="170" fontId="11" fillId="2" borderId="73" xfId="0" applyNumberFormat="1" applyFont="1" applyFill="1" applyBorder="1" applyAlignment="1" applyProtection="1">
      <alignment horizontal="right" vertical="center"/>
      <protection locked="0"/>
    </xf>
    <xf numFmtId="170" fontId="11" fillId="3" borderId="73" xfId="0" applyNumberFormat="1" applyFont="1" applyFill="1" applyBorder="1" applyAlignment="1" applyProtection="1">
      <alignment horizontal="right" vertical="center"/>
      <protection/>
    </xf>
    <xf numFmtId="170" fontId="11" fillId="2" borderId="74" xfId="0" applyNumberFormat="1" applyFont="1" applyFill="1" applyBorder="1" applyAlignment="1" applyProtection="1">
      <alignment horizontal="right" vertical="center"/>
      <protection locked="0"/>
    </xf>
    <xf numFmtId="0" fontId="11" fillId="0" borderId="2" xfId="0" applyFont="1" applyFill="1" applyBorder="1" applyAlignment="1" applyProtection="1">
      <alignment vertical="top" wrapText="1"/>
      <protection/>
    </xf>
    <xf numFmtId="0" fontId="11" fillId="0" borderId="29" xfId="0" applyFont="1" applyFill="1" applyBorder="1" applyAlignment="1" applyProtection="1">
      <alignment horizontal="center" vertical="top" wrapText="1"/>
      <protection/>
    </xf>
    <xf numFmtId="170" fontId="11" fillId="2" borderId="16" xfId="0" applyNumberFormat="1" applyFont="1" applyFill="1" applyBorder="1" applyAlignment="1" applyProtection="1">
      <alignment horizontal="right" vertical="center"/>
      <protection locked="0"/>
    </xf>
    <xf numFmtId="170" fontId="11" fillId="2" borderId="2" xfId="0" applyNumberFormat="1" applyFont="1" applyFill="1" applyBorder="1" applyAlignment="1" applyProtection="1">
      <alignment horizontal="right" vertical="center"/>
      <protection locked="0"/>
    </xf>
    <xf numFmtId="170" fontId="11" fillId="2" borderId="29" xfId="0" applyNumberFormat="1" applyFont="1" applyFill="1" applyBorder="1" applyAlignment="1" applyProtection="1">
      <alignment horizontal="right" vertical="center"/>
      <protection locked="0"/>
    </xf>
    <xf numFmtId="170" fontId="11" fillId="3" borderId="16" xfId="0" applyNumberFormat="1" applyFont="1" applyFill="1" applyBorder="1" applyAlignment="1" applyProtection="1">
      <alignment vertical="center"/>
      <protection/>
    </xf>
    <xf numFmtId="170" fontId="11" fillId="3" borderId="65" xfId="0" applyNumberFormat="1" applyFont="1" applyFill="1" applyBorder="1" applyAlignment="1" applyProtection="1">
      <alignment vertical="center"/>
      <protection/>
    </xf>
    <xf numFmtId="170" fontId="11" fillId="3" borderId="29" xfId="0" applyNumberFormat="1" applyFont="1" applyFill="1" applyBorder="1" applyAlignment="1" applyProtection="1">
      <alignment vertical="center"/>
      <protection/>
    </xf>
    <xf numFmtId="49" fontId="1" fillId="0" borderId="65" xfId="0" applyNumberFormat="1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 applyProtection="1">
      <alignment horizontal="left" vertical="top" wrapText="1" indent="1"/>
      <protection/>
    </xf>
    <xf numFmtId="0" fontId="11" fillId="4" borderId="2" xfId="0" applyFont="1" applyFill="1" applyBorder="1" applyAlignment="1" applyProtection="1">
      <alignment horizontal="left" vertical="top" wrapText="1" indent="1"/>
      <protection/>
    </xf>
    <xf numFmtId="0" fontId="11" fillId="4" borderId="2" xfId="0" applyFont="1" applyFill="1" applyBorder="1" applyAlignment="1" applyProtection="1">
      <alignment vertical="top" wrapText="1"/>
      <protection/>
    </xf>
    <xf numFmtId="49" fontId="0" fillId="0" borderId="65" xfId="0" applyNumberFormat="1" applyFill="1" applyBorder="1" applyAlignment="1" applyProtection="1">
      <alignment horizontal="center"/>
      <protection/>
    </xf>
    <xf numFmtId="170" fontId="1" fillId="3" borderId="29" xfId="0" applyNumberFormat="1" applyFont="1" applyFill="1" applyBorder="1" applyAlignment="1" applyProtection="1">
      <alignment horizontal="right" vertical="center"/>
      <protection/>
    </xf>
    <xf numFmtId="0" fontId="11" fillId="4" borderId="20" xfId="0" applyFont="1" applyFill="1" applyBorder="1" applyAlignment="1" applyProtection="1">
      <alignment vertical="top" wrapText="1"/>
      <protection/>
    </xf>
    <xf numFmtId="0" fontId="11" fillId="0" borderId="75" xfId="0" applyFont="1" applyFill="1" applyBorder="1" applyAlignment="1" applyProtection="1">
      <alignment horizontal="center" vertical="top" wrapText="1"/>
      <protection/>
    </xf>
    <xf numFmtId="49" fontId="13" fillId="0" borderId="56" xfId="0" applyNumberFormat="1" applyFont="1" applyFill="1" applyBorder="1" applyAlignment="1" applyProtection="1">
      <alignment horizontal="center" vertical="center"/>
      <protection/>
    </xf>
    <xf numFmtId="0" fontId="13" fillId="4" borderId="59" xfId="0" applyFont="1" applyFill="1" applyBorder="1" applyAlignment="1" applyProtection="1">
      <alignment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70" fontId="2" fillId="3" borderId="58" xfId="0" applyNumberFormat="1" applyFont="1" applyFill="1" applyBorder="1" applyAlignment="1" applyProtection="1">
      <alignment horizontal="right" vertical="center"/>
      <protection/>
    </xf>
    <xf numFmtId="170" fontId="2" fillId="3" borderId="76" xfId="0" applyNumberFormat="1" applyFont="1" applyFill="1" applyBorder="1" applyAlignment="1" applyProtection="1">
      <alignment horizontal="right" vertical="center"/>
      <protection/>
    </xf>
    <xf numFmtId="170" fontId="2" fillId="3" borderId="77" xfId="0" applyNumberFormat="1" applyFont="1" applyFill="1" applyBorder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vertical="top"/>
      <protection/>
    </xf>
    <xf numFmtId="0" fontId="2" fillId="5" borderId="78" xfId="0" applyNumberFormat="1" applyFont="1" applyFill="1" applyBorder="1" applyAlignment="1" applyProtection="1">
      <alignment vertical="center"/>
      <protection/>
    </xf>
    <xf numFmtId="0" fontId="2" fillId="5" borderId="79" xfId="0" applyNumberFormat="1" applyFont="1" applyFill="1" applyBorder="1" applyAlignment="1" applyProtection="1">
      <alignment vertical="center"/>
      <protection/>
    </xf>
    <xf numFmtId="0" fontId="2" fillId="5" borderId="80" xfId="0" applyNumberFormat="1" applyFont="1" applyFill="1" applyBorder="1" applyAlignment="1" applyProtection="1">
      <alignment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1" fillId="0" borderId="64" xfId="0" applyFont="1" applyFill="1" applyBorder="1" applyAlignment="1" applyProtection="1">
      <alignment horizontal="center" vertical="top" wrapText="1"/>
      <protection/>
    </xf>
    <xf numFmtId="170" fontId="1" fillId="2" borderId="81" xfId="0" applyNumberFormat="1" applyFont="1" applyFill="1" applyBorder="1" applyAlignment="1" applyProtection="1">
      <alignment vertical="center"/>
      <protection locked="0"/>
    </xf>
    <xf numFmtId="170" fontId="1" fillId="2" borderId="73" xfId="0" applyNumberFormat="1" applyFont="1" applyFill="1" applyBorder="1" applyAlignment="1" applyProtection="1">
      <alignment vertical="center"/>
      <protection locked="0"/>
    </xf>
    <xf numFmtId="170" fontId="1" fillId="3" borderId="73" xfId="0" applyNumberFormat="1" applyFont="1" applyFill="1" applyBorder="1" applyAlignment="1" applyProtection="1">
      <alignment vertical="center"/>
      <protection/>
    </xf>
    <xf numFmtId="170" fontId="1" fillId="3" borderId="82" xfId="0" applyNumberFormat="1" applyFont="1" applyFill="1" applyBorder="1" applyAlignment="1" applyProtection="1">
      <alignment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170" fontId="11" fillId="2" borderId="83" xfId="0" applyNumberFormat="1" applyFont="1" applyFill="1" applyBorder="1" applyAlignment="1" applyProtection="1">
      <alignment horizontal="right" vertical="center"/>
      <protection locked="0"/>
    </xf>
    <xf numFmtId="170" fontId="1" fillId="3" borderId="84" xfId="0" applyNumberFormat="1" applyFont="1" applyFill="1" applyBorder="1" applyAlignment="1" applyProtection="1">
      <alignment horizontal="right" vertical="center"/>
      <protection/>
    </xf>
    <xf numFmtId="170" fontId="11" fillId="3" borderId="46" xfId="0" applyNumberFormat="1" applyFont="1" applyFill="1" applyBorder="1" applyAlignment="1" applyProtection="1">
      <alignment horizontal="right" vertical="center"/>
      <protection/>
    </xf>
    <xf numFmtId="0" fontId="1" fillId="0" borderId="85" xfId="0" applyFont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vertical="center" wrapText="1"/>
      <protection/>
    </xf>
    <xf numFmtId="0" fontId="11" fillId="0" borderId="86" xfId="0" applyFont="1" applyFill="1" applyBorder="1" applyAlignment="1" applyProtection="1">
      <alignment horizontal="center" vertical="top" wrapText="1"/>
      <protection/>
    </xf>
    <xf numFmtId="170" fontId="11" fillId="2" borderId="87" xfId="0" applyNumberFormat="1" applyFont="1" applyFill="1" applyBorder="1" applyAlignment="1" applyProtection="1">
      <alignment horizontal="right" vertical="center"/>
      <protection locked="0"/>
    </xf>
    <xf numFmtId="170" fontId="11" fillId="2" borderId="21" xfId="0" applyNumberFormat="1" applyFont="1" applyFill="1" applyBorder="1" applyAlignment="1" applyProtection="1">
      <alignment horizontal="right" vertical="center"/>
      <protection locked="0"/>
    </xf>
    <xf numFmtId="170" fontId="1" fillId="3" borderId="88" xfId="0" applyNumberFormat="1" applyFont="1" applyFill="1" applyBorder="1" applyAlignment="1" applyProtection="1">
      <alignment horizontal="right" vertical="center"/>
      <protection/>
    </xf>
    <xf numFmtId="170" fontId="11" fillId="3" borderId="21" xfId="0" applyNumberFormat="1" applyFont="1" applyFill="1" applyBorder="1" applyAlignment="1" applyProtection="1">
      <alignment horizontal="right" vertical="center"/>
      <protection/>
    </xf>
    <xf numFmtId="170" fontId="11" fillId="3" borderId="49" xfId="0" applyNumberFormat="1" applyFont="1" applyFill="1" applyBorder="1" applyAlignment="1" applyProtection="1">
      <alignment horizontal="right" vertical="center"/>
      <protection/>
    </xf>
    <xf numFmtId="49" fontId="1" fillId="0" borderId="89" xfId="0" applyNumberFormat="1" applyFont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vertical="center" wrapText="1"/>
      <protection/>
    </xf>
    <xf numFmtId="0" fontId="13" fillId="0" borderId="90" xfId="0" applyFont="1" applyFill="1" applyBorder="1" applyAlignment="1" applyProtection="1">
      <alignment horizontal="center" vertical="center" wrapText="1"/>
      <protection/>
    </xf>
    <xf numFmtId="170" fontId="2" fillId="3" borderId="81" xfId="0" applyNumberFormat="1" applyFont="1" applyFill="1" applyBorder="1" applyAlignment="1" applyProtection="1">
      <alignment vertical="center"/>
      <protection/>
    </xf>
    <xf numFmtId="170" fontId="2" fillId="3" borderId="73" xfId="0" applyNumberFormat="1" applyFont="1" applyFill="1" applyBorder="1" applyAlignment="1" applyProtection="1">
      <alignment vertical="center"/>
      <protection/>
    </xf>
    <xf numFmtId="170" fontId="2" fillId="3" borderId="82" xfId="0" applyNumberFormat="1" applyFont="1" applyFill="1" applyBorder="1" applyAlignment="1" applyProtection="1">
      <alignment vertical="center"/>
      <protection/>
    </xf>
    <xf numFmtId="0" fontId="1" fillId="0" borderId="88" xfId="0" applyFont="1" applyBorder="1" applyAlignment="1" applyProtection="1">
      <alignment horizontal="center" vertical="center"/>
      <protection/>
    </xf>
    <xf numFmtId="0" fontId="2" fillId="0" borderId="91" xfId="0" applyFont="1" applyBorder="1" applyAlignment="1" applyProtection="1">
      <alignment vertical="center"/>
      <protection/>
    </xf>
    <xf numFmtId="0" fontId="13" fillId="0" borderId="92" xfId="0" applyFont="1" applyFill="1" applyBorder="1" applyAlignment="1" applyProtection="1">
      <alignment horizontal="center" vertical="center" wrapText="1"/>
      <protection/>
    </xf>
    <xf numFmtId="170" fontId="2" fillId="3" borderId="93" xfId="0" applyNumberFormat="1" applyFont="1" applyFill="1" applyBorder="1" applyAlignment="1" applyProtection="1">
      <alignment vertical="center"/>
      <protection/>
    </xf>
    <xf numFmtId="170" fontId="2" fillId="3" borderId="19" xfId="0" applyNumberFormat="1" applyFont="1" applyFill="1" applyBorder="1" applyAlignment="1" applyProtection="1">
      <alignment vertical="center"/>
      <protection/>
    </xf>
    <xf numFmtId="170" fontId="2" fillId="3" borderId="94" xfId="0" applyNumberFormat="1" applyFont="1" applyFill="1" applyBorder="1" applyAlignment="1" applyProtection="1">
      <alignment horizontal="right" vertical="center"/>
      <protection/>
    </xf>
    <xf numFmtId="0" fontId="1" fillId="0" borderId="95" xfId="0" applyFont="1" applyBorder="1" applyAlignment="1" applyProtection="1">
      <alignment horizontal="center" vertical="center"/>
      <protection/>
    </xf>
    <xf numFmtId="0" fontId="2" fillId="0" borderId="91" xfId="0" applyFont="1" applyFill="1" applyBorder="1" applyAlignment="1" applyProtection="1">
      <alignment vertical="center" wrapText="1"/>
      <protection/>
    </xf>
    <xf numFmtId="170" fontId="1" fillId="6" borderId="96" xfId="0" applyNumberFormat="1" applyFont="1" applyFill="1" applyBorder="1" applyAlignment="1" applyProtection="1">
      <alignment vertical="center"/>
      <protection locked="0"/>
    </xf>
    <xf numFmtId="170" fontId="1" fillId="6" borderId="97" xfId="0" applyNumberFormat="1" applyFont="1" applyFill="1" applyBorder="1" applyAlignment="1" applyProtection="1">
      <alignment vertical="center"/>
      <protection locked="0"/>
    </xf>
    <xf numFmtId="170" fontId="2" fillId="0" borderId="97" xfId="0" applyNumberFormat="1" applyFont="1" applyFill="1" applyBorder="1" applyAlignment="1" applyProtection="1">
      <alignment vertical="center"/>
      <protection/>
    </xf>
    <xf numFmtId="170" fontId="2" fillId="0" borderId="98" xfId="0" applyNumberFormat="1" applyFont="1" applyFill="1" applyBorder="1" applyAlignment="1" applyProtection="1">
      <alignment vertical="center"/>
      <protection/>
    </xf>
    <xf numFmtId="0" fontId="1" fillId="4" borderId="0" xfId="0" applyNumberFormat="1" applyFont="1" applyFill="1" applyAlignment="1" applyProtection="1">
      <alignment vertical="top"/>
      <protection/>
    </xf>
    <xf numFmtId="0" fontId="2" fillId="5" borderId="99" xfId="0" applyNumberFormat="1" applyFont="1" applyFill="1" applyBorder="1" applyAlignment="1" applyProtection="1">
      <alignment vertical="center"/>
      <protection/>
    </xf>
    <xf numFmtId="0" fontId="2" fillId="5" borderId="37" xfId="0" applyNumberFormat="1" applyFont="1" applyFill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170" fontId="1" fillId="0" borderId="101" xfId="0" applyNumberFormat="1" applyFont="1" applyFill="1" applyBorder="1" applyAlignment="1" applyProtection="1">
      <alignment vertical="center"/>
      <protection/>
    </xf>
    <xf numFmtId="170" fontId="1" fillId="2" borderId="89" xfId="0" applyNumberFormat="1" applyFont="1" applyFill="1" applyBorder="1" applyAlignment="1" applyProtection="1">
      <alignment vertical="center"/>
      <protection locked="0"/>
    </xf>
    <xf numFmtId="170" fontId="1" fillId="0" borderId="89" xfId="0" applyNumberFormat="1" applyFont="1" applyFill="1" applyBorder="1" applyAlignment="1" applyProtection="1">
      <alignment vertical="center"/>
      <protection/>
    </xf>
    <xf numFmtId="170" fontId="1" fillId="0" borderId="102" xfId="0" applyNumberFormat="1" applyFont="1" applyFill="1" applyBorder="1" applyAlignment="1" applyProtection="1">
      <alignment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11" fillId="0" borderId="103" xfId="0" applyFont="1" applyFill="1" applyBorder="1" applyAlignment="1" applyProtection="1">
      <alignment horizontal="center" vertical="center" wrapText="1"/>
      <protection/>
    </xf>
    <xf numFmtId="170" fontId="1" fillId="2" borderId="84" xfId="0" applyNumberFormat="1" applyFont="1" applyFill="1" applyBorder="1" applyAlignment="1" applyProtection="1">
      <alignment vertical="center"/>
      <protection locked="0"/>
    </xf>
    <xf numFmtId="170" fontId="1" fillId="0" borderId="84" xfId="0" applyNumberFormat="1" applyFont="1" applyFill="1" applyBorder="1" applyAlignment="1" applyProtection="1">
      <alignment vertical="center"/>
      <protection/>
    </xf>
    <xf numFmtId="170" fontId="1" fillId="0" borderId="104" xfId="0" applyNumberFormat="1" applyFont="1" applyFill="1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10" fontId="1" fillId="0" borderId="101" xfId="0" applyNumberFormat="1" applyFont="1" applyFill="1" applyBorder="1" applyAlignment="1" applyProtection="1">
      <alignment vertical="center"/>
      <protection/>
    </xf>
    <xf numFmtId="10" fontId="1" fillId="2" borderId="84" xfId="0" applyNumberFormat="1" applyFont="1" applyFill="1" applyBorder="1" applyAlignment="1" applyProtection="1">
      <alignment vertical="center"/>
      <protection locked="0"/>
    </xf>
    <xf numFmtId="10" fontId="1" fillId="0" borderId="84" xfId="0" applyNumberFormat="1" applyFont="1" applyFill="1" applyBorder="1" applyAlignment="1" applyProtection="1">
      <alignment vertical="center"/>
      <protection/>
    </xf>
    <xf numFmtId="10" fontId="1" fillId="0" borderId="104" xfId="0" applyNumberFormat="1" applyFont="1" applyFill="1" applyBorder="1" applyAlignment="1" applyProtection="1">
      <alignment vertical="center"/>
      <protection/>
    </xf>
    <xf numFmtId="0" fontId="0" fillId="5" borderId="65" xfId="0" applyFill="1" applyBorder="1" applyAlignment="1" applyProtection="1">
      <alignment horizontal="center" vertical="center"/>
      <protection/>
    </xf>
    <xf numFmtId="0" fontId="11" fillId="5" borderId="2" xfId="0" applyFont="1" applyFill="1" applyBorder="1" applyAlignment="1" applyProtection="1">
      <alignment horizontal="left" vertical="center" wrapText="1" indent="1"/>
      <protection/>
    </xf>
    <xf numFmtId="0" fontId="11" fillId="5" borderId="103" xfId="0" applyFont="1" applyFill="1" applyBorder="1" applyAlignment="1" applyProtection="1">
      <alignment horizontal="center" vertical="center" wrapText="1"/>
      <protection/>
    </xf>
    <xf numFmtId="170" fontId="1" fillId="5" borderId="101" xfId="0" applyNumberFormat="1" applyFont="1" applyFill="1" applyBorder="1" applyAlignment="1" applyProtection="1">
      <alignment vertical="center"/>
      <protection/>
    </xf>
    <xf numFmtId="170" fontId="1" fillId="5" borderId="84" xfId="0" applyNumberFormat="1" applyFont="1" applyFill="1" applyBorder="1" applyAlignment="1" applyProtection="1">
      <alignment vertical="center"/>
      <protection/>
    </xf>
    <xf numFmtId="170" fontId="1" fillId="5" borderId="104" xfId="0" applyNumberFormat="1" applyFont="1" applyFill="1" applyBorder="1" applyAlignment="1" applyProtection="1">
      <alignment vertical="center"/>
      <protection/>
    </xf>
    <xf numFmtId="0" fontId="0" fillId="5" borderId="47" xfId="0" applyFont="1" applyFill="1" applyBorder="1" applyAlignment="1" applyProtection="1">
      <alignment horizontal="center" vertical="center"/>
      <protection/>
    </xf>
    <xf numFmtId="0" fontId="13" fillId="5" borderId="6" xfId="0" applyFont="1" applyFill="1" applyBorder="1" applyAlignment="1" applyProtection="1">
      <alignment vertical="center" wrapText="1"/>
      <protection/>
    </xf>
    <xf numFmtId="0" fontId="13" fillId="5" borderId="103" xfId="0" applyFont="1" applyFill="1" applyBorder="1" applyAlignment="1" applyProtection="1">
      <alignment horizontal="center" vertical="center" wrapText="1"/>
      <protection/>
    </xf>
    <xf numFmtId="170" fontId="2" fillId="5" borderId="101" xfId="0" applyNumberFormat="1" applyFont="1" applyFill="1" applyBorder="1" applyAlignment="1" applyProtection="1">
      <alignment vertical="center"/>
      <protection/>
    </xf>
    <xf numFmtId="170" fontId="2" fillId="5" borderId="84" xfId="0" applyNumberFormat="1" applyFont="1" applyFill="1" applyBorder="1" applyAlignment="1" applyProtection="1">
      <alignment vertical="center"/>
      <protection/>
    </xf>
    <xf numFmtId="170" fontId="9" fillId="5" borderId="84" xfId="0" applyNumberFormat="1" applyFont="1" applyFill="1" applyBorder="1" applyAlignment="1" applyProtection="1">
      <alignment vertical="center"/>
      <protection/>
    </xf>
    <xf numFmtId="170" fontId="2" fillId="5" borderId="104" xfId="0" applyNumberFormat="1" applyFont="1" applyFill="1" applyBorder="1" applyAlignment="1" applyProtection="1">
      <alignment vertical="center"/>
      <protection/>
    </xf>
    <xf numFmtId="170" fontId="1" fillId="2" borderId="101" xfId="0" applyNumberFormat="1" applyFont="1" applyFill="1" applyBorder="1" applyAlignment="1" applyProtection="1">
      <alignment vertical="center"/>
      <protection locked="0"/>
    </xf>
    <xf numFmtId="170" fontId="1" fillId="4" borderId="84" xfId="0" applyNumberFormat="1" applyFont="1" applyFill="1" applyBorder="1" applyAlignment="1" applyProtection="1">
      <alignment vertical="center"/>
      <protection/>
    </xf>
    <xf numFmtId="170" fontId="1" fillId="4" borderId="104" xfId="0" applyNumberFormat="1" applyFont="1" applyFill="1" applyBorder="1" applyAlignment="1" applyProtection="1">
      <alignment vertical="center"/>
      <protection/>
    </xf>
    <xf numFmtId="170" fontId="2" fillId="3" borderId="84" xfId="0" applyNumberFormat="1" applyFont="1" applyFill="1" applyBorder="1" applyAlignment="1" applyProtection="1">
      <alignment horizontal="right" vertical="center"/>
      <protection/>
    </xf>
    <xf numFmtId="170" fontId="2" fillId="6" borderId="84" xfId="0" applyNumberFormat="1" applyFont="1" applyFill="1" applyBorder="1" applyAlignment="1" applyProtection="1">
      <alignment horizontal="right" vertical="center"/>
      <protection locked="0"/>
    </xf>
    <xf numFmtId="170" fontId="2" fillId="3" borderId="104" xfId="0" applyNumberFormat="1" applyFont="1" applyFill="1" applyBorder="1" applyAlignment="1" applyProtection="1">
      <alignment horizontal="right" vertical="center"/>
      <protection/>
    </xf>
    <xf numFmtId="10" fontId="1" fillId="4" borderId="101" xfId="0" applyNumberFormat="1" applyFont="1" applyFill="1" applyBorder="1" applyAlignment="1" applyProtection="1">
      <alignment vertical="center"/>
      <protection/>
    </xf>
    <xf numFmtId="10" fontId="2" fillId="0" borderId="84" xfId="0" applyNumberFormat="1" applyFont="1" applyFill="1" applyBorder="1" applyAlignment="1" applyProtection="1">
      <alignment horizontal="right" vertical="center"/>
      <protection/>
    </xf>
    <xf numFmtId="10" fontId="2" fillId="3" borderId="84" xfId="0" applyNumberFormat="1" applyFont="1" applyFill="1" applyBorder="1" applyAlignment="1" applyProtection="1">
      <alignment horizontal="right" vertical="center"/>
      <protection/>
    </xf>
    <xf numFmtId="10" fontId="2" fillId="3" borderId="104" xfId="0" applyNumberFormat="1" applyFont="1" applyFill="1" applyBorder="1" applyAlignment="1" applyProtection="1">
      <alignment horizontal="right" vertical="center"/>
      <protection/>
    </xf>
    <xf numFmtId="170" fontId="1" fillId="6" borderId="84" xfId="0" applyNumberFormat="1" applyFont="1" applyFill="1" applyBorder="1" applyAlignment="1" applyProtection="1">
      <alignment vertical="center"/>
      <protection locked="0"/>
    </xf>
    <xf numFmtId="170" fontId="11" fillId="0" borderId="84" xfId="0" applyNumberFormat="1" applyFont="1" applyFill="1" applyBorder="1" applyAlignment="1" applyProtection="1">
      <alignment vertical="center"/>
      <protection/>
    </xf>
    <xf numFmtId="170" fontId="11" fillId="3" borderId="84" xfId="0" applyNumberFormat="1" applyFont="1" applyFill="1" applyBorder="1" applyAlignment="1" applyProtection="1">
      <alignment vertical="center"/>
      <protection/>
    </xf>
    <xf numFmtId="170" fontId="11" fillId="3" borderId="104" xfId="0" applyNumberFormat="1" applyFont="1" applyFill="1" applyBorder="1" applyAlignment="1" applyProtection="1">
      <alignment vertical="center"/>
      <protection/>
    </xf>
    <xf numFmtId="3" fontId="8" fillId="0" borderId="84" xfId="0" applyNumberFormat="1" applyFont="1" applyFill="1" applyBorder="1" applyAlignment="1" applyProtection="1">
      <alignment vertical="center"/>
      <protection/>
    </xf>
    <xf numFmtId="170" fontId="8" fillId="0" borderId="84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10" fontId="1" fillId="3" borderId="84" xfId="0" applyNumberFormat="1" applyFont="1" applyFill="1" applyBorder="1" applyAlignment="1" applyProtection="1">
      <alignment vertical="center"/>
      <protection/>
    </xf>
    <xf numFmtId="10" fontId="11" fillId="0" borderId="84" xfId="0" applyNumberFormat="1" applyFont="1" applyFill="1" applyBorder="1" applyAlignment="1" applyProtection="1">
      <alignment vertical="center"/>
      <protection/>
    </xf>
    <xf numFmtId="10" fontId="11" fillId="3" borderId="84" xfId="0" applyNumberFormat="1" applyFont="1" applyFill="1" applyBorder="1" applyAlignment="1" applyProtection="1">
      <alignment vertical="center"/>
      <protection/>
    </xf>
    <xf numFmtId="10" fontId="11" fillId="0" borderId="104" xfId="0" applyNumberFormat="1" applyFont="1" applyFill="1" applyBorder="1" applyAlignment="1" applyProtection="1">
      <alignment vertical="center"/>
      <protection/>
    </xf>
    <xf numFmtId="170" fontId="0" fillId="0" borderId="104" xfId="0" applyNumberFormat="1" applyFill="1" applyBorder="1" applyAlignment="1" applyProtection="1">
      <alignment vertical="center"/>
      <protection/>
    </xf>
    <xf numFmtId="0" fontId="1" fillId="4" borderId="84" xfId="0" applyNumberFormat="1" applyFont="1" applyFill="1" applyBorder="1" applyAlignment="1" applyProtection="1">
      <alignment vertical="center"/>
      <protection/>
    </xf>
    <xf numFmtId="0" fontId="1" fillId="4" borderId="104" xfId="0" applyNumberFormat="1" applyFont="1" applyFill="1" applyBorder="1" applyAlignment="1" applyProtection="1">
      <alignment vertical="center"/>
      <protection/>
    </xf>
    <xf numFmtId="10" fontId="1" fillId="6" borderId="84" xfId="0" applyNumberFormat="1" applyFont="1" applyFill="1" applyBorder="1" applyAlignment="1" applyProtection="1">
      <alignment vertical="center"/>
      <protection locked="0"/>
    </xf>
    <xf numFmtId="0" fontId="1" fillId="4" borderId="101" xfId="0" applyNumberFormat="1" applyFont="1" applyFill="1" applyBorder="1" applyAlignment="1" applyProtection="1">
      <alignment vertical="center"/>
      <protection/>
    </xf>
    <xf numFmtId="170" fontId="11" fillId="5" borderId="101" xfId="0" applyNumberFormat="1" applyFont="1" applyFill="1" applyBorder="1" applyAlignment="1" applyProtection="1">
      <alignment vertical="center"/>
      <protection/>
    </xf>
    <xf numFmtId="170" fontId="11" fillId="5" borderId="84" xfId="0" applyNumberFormat="1" applyFont="1" applyFill="1" applyBorder="1" applyAlignment="1" applyProtection="1">
      <alignment vertical="center"/>
      <protection/>
    </xf>
    <xf numFmtId="0" fontId="1" fillId="5" borderId="104" xfId="0" applyNumberFormat="1" applyFont="1" applyFill="1" applyBorder="1" applyAlignment="1" applyProtection="1">
      <alignment vertical="center"/>
      <protection/>
    </xf>
    <xf numFmtId="0" fontId="1" fillId="5" borderId="101" xfId="0" applyNumberFormat="1" applyFont="1" applyFill="1" applyBorder="1" applyAlignment="1" applyProtection="1">
      <alignment vertical="center"/>
      <protection/>
    </xf>
    <xf numFmtId="170" fontId="1" fillId="2" borderId="2" xfId="0" applyNumberFormat="1" applyFont="1" applyFill="1" applyBorder="1" applyAlignment="1" applyProtection="1">
      <alignment vertical="center"/>
      <protection locked="0"/>
    </xf>
    <xf numFmtId="170" fontId="11" fillId="3" borderId="2" xfId="0" applyNumberFormat="1" applyFont="1" applyFill="1" applyBorder="1" applyAlignment="1" applyProtection="1">
      <alignment vertical="center"/>
      <protection/>
    </xf>
    <xf numFmtId="0" fontId="0" fillId="0" borderId="67" xfId="0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vertical="center" wrapText="1"/>
      <protection/>
    </xf>
    <xf numFmtId="0" fontId="11" fillId="0" borderId="61" xfId="0" applyFont="1" applyFill="1" applyBorder="1" applyAlignment="1" applyProtection="1">
      <alignment horizontal="center" vertical="center" wrapText="1"/>
      <protection/>
    </xf>
    <xf numFmtId="170" fontId="1" fillId="4" borderId="105" xfId="0" applyNumberFormat="1" applyFont="1" applyFill="1" applyBorder="1" applyAlignment="1" applyProtection="1">
      <alignment vertical="center"/>
      <protection/>
    </xf>
    <xf numFmtId="170" fontId="1" fillId="2" borderId="91" xfId="0" applyNumberFormat="1" applyFont="1" applyFill="1" applyBorder="1" applyAlignment="1" applyProtection="1">
      <alignment vertical="center"/>
      <protection locked="0"/>
    </xf>
    <xf numFmtId="170" fontId="1" fillId="4" borderId="91" xfId="0" applyNumberFormat="1" applyFont="1" applyFill="1" applyBorder="1" applyAlignment="1" applyProtection="1">
      <alignment vertical="center"/>
      <protection/>
    </xf>
    <xf numFmtId="170" fontId="1" fillId="3" borderId="91" xfId="0" applyNumberFormat="1" applyFont="1" applyFill="1" applyBorder="1" applyAlignment="1" applyProtection="1">
      <alignment horizontal="right" vertical="center"/>
      <protection/>
    </xf>
    <xf numFmtId="170" fontId="1" fillId="4" borderId="106" xfId="0" applyNumberFormat="1" applyFont="1" applyFill="1" applyBorder="1" applyAlignment="1" applyProtection="1">
      <alignment vertical="center"/>
      <protection/>
    </xf>
    <xf numFmtId="0" fontId="0" fillId="5" borderId="55" xfId="0" applyFill="1" applyBorder="1" applyAlignment="1" applyProtection="1">
      <alignment horizontal="center" vertical="center"/>
      <protection/>
    </xf>
    <xf numFmtId="0" fontId="11" fillId="5" borderId="107" xfId="0" applyFont="1" applyFill="1" applyBorder="1" applyAlignment="1" applyProtection="1">
      <alignment vertical="center" wrapText="1"/>
      <protection/>
    </xf>
    <xf numFmtId="0" fontId="11" fillId="5" borderId="41" xfId="0" applyFont="1" applyFill="1" applyBorder="1" applyAlignment="1" applyProtection="1">
      <alignment horizontal="center" vertical="center" wrapText="1"/>
      <protection/>
    </xf>
    <xf numFmtId="0" fontId="1" fillId="5" borderId="108" xfId="0" applyNumberFormat="1" applyFont="1" applyFill="1" applyBorder="1" applyAlignment="1" applyProtection="1">
      <alignment vertical="center"/>
      <protection/>
    </xf>
    <xf numFmtId="0" fontId="1" fillId="5" borderId="109" xfId="0" applyNumberFormat="1" applyFont="1" applyFill="1" applyBorder="1" applyAlignment="1" applyProtection="1">
      <alignment vertical="center"/>
      <protection/>
    </xf>
    <xf numFmtId="170" fontId="1" fillId="5" borderId="109" xfId="0" applyNumberFormat="1" applyFont="1" applyFill="1" applyBorder="1" applyAlignment="1" applyProtection="1">
      <alignment vertical="center"/>
      <protection/>
    </xf>
    <xf numFmtId="0" fontId="1" fillId="5" borderId="11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" fillId="4" borderId="0" xfId="0" applyNumberFormat="1" applyFont="1" applyFill="1" applyBorder="1" applyAlignment="1" applyProtection="1">
      <alignment vertical="center"/>
      <protection/>
    </xf>
    <xf numFmtId="0" fontId="11" fillId="0" borderId="42" xfId="0" applyFont="1" applyFill="1" applyBorder="1" applyAlignment="1" applyProtection="1">
      <alignment horizontal="center" vertical="center" wrapText="1"/>
      <protection/>
    </xf>
    <xf numFmtId="170" fontId="1" fillId="2" borderId="111" xfId="0" applyNumberFormat="1" applyFont="1" applyFill="1" applyBorder="1" applyAlignment="1" applyProtection="1">
      <alignment vertical="center"/>
      <protection locked="0"/>
    </xf>
    <xf numFmtId="170" fontId="1" fillId="2" borderId="15" xfId="0" applyNumberFormat="1" applyFont="1" applyFill="1" applyBorder="1" applyAlignment="1" applyProtection="1">
      <alignment vertical="center"/>
      <protection locked="0"/>
    </xf>
    <xf numFmtId="4" fontId="11" fillId="3" borderId="15" xfId="0" applyNumberFormat="1" applyFont="1" applyFill="1" applyBorder="1" applyAlignment="1" applyProtection="1">
      <alignment vertical="center"/>
      <protection/>
    </xf>
    <xf numFmtId="170" fontId="1" fillId="2" borderId="42" xfId="0" applyNumberFormat="1" applyFont="1" applyFill="1" applyBorder="1" applyAlignment="1" applyProtection="1">
      <alignment vertical="center"/>
      <protection locked="0"/>
    </xf>
    <xf numFmtId="49" fontId="1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46" xfId="0" applyFont="1" applyFill="1" applyBorder="1" applyAlignment="1" applyProtection="1">
      <alignment horizontal="center" vertical="center" wrapText="1"/>
      <protection/>
    </xf>
    <xf numFmtId="10" fontId="1" fillId="2" borderId="83" xfId="0" applyNumberFormat="1" applyFont="1" applyFill="1" applyBorder="1" applyAlignment="1" applyProtection="1">
      <alignment vertical="center"/>
      <protection locked="0"/>
    </xf>
    <xf numFmtId="10" fontId="1" fillId="2" borderId="2" xfId="0" applyNumberFormat="1" applyFont="1" applyFill="1" applyBorder="1" applyAlignment="1" applyProtection="1">
      <alignment vertical="center"/>
      <protection locked="0"/>
    </xf>
    <xf numFmtId="10" fontId="11" fillId="3" borderId="2" xfId="0" applyNumberFormat="1" applyFont="1" applyFill="1" applyBorder="1" applyAlignment="1" applyProtection="1">
      <alignment vertical="center"/>
      <protection/>
    </xf>
    <xf numFmtId="10" fontId="1" fillId="2" borderId="46" xfId="0" applyNumberFormat="1" applyFont="1" applyFill="1" applyBorder="1" applyAlignment="1" applyProtection="1">
      <alignment vertical="center"/>
      <protection locked="0"/>
    </xf>
    <xf numFmtId="49" fontId="0" fillId="0" borderId="65" xfId="0" applyNumberFormat="1" applyBorder="1" applyAlignment="1" applyProtection="1">
      <alignment horizontal="center" vertical="center"/>
      <protection/>
    </xf>
    <xf numFmtId="170" fontId="11" fillId="3" borderId="83" xfId="0" applyNumberFormat="1" applyFont="1" applyFill="1" applyBorder="1" applyAlignment="1" applyProtection="1">
      <alignment vertical="center"/>
      <protection/>
    </xf>
    <xf numFmtId="4" fontId="11" fillId="3" borderId="2" xfId="0" applyNumberFormat="1" applyFont="1" applyFill="1" applyBorder="1" applyAlignment="1" applyProtection="1">
      <alignment vertical="center"/>
      <protection/>
    </xf>
    <xf numFmtId="170" fontId="11" fillId="3" borderId="46" xfId="0" applyNumberFormat="1" applyFont="1" applyFill="1" applyBorder="1" applyAlignment="1" applyProtection="1">
      <alignment vertical="center"/>
      <protection/>
    </xf>
    <xf numFmtId="170" fontId="1" fillId="2" borderId="83" xfId="0" applyNumberFormat="1" applyFont="1" applyFill="1" applyBorder="1" applyAlignment="1" applyProtection="1">
      <alignment vertical="center"/>
      <protection locked="0"/>
    </xf>
    <xf numFmtId="170" fontId="1" fillId="2" borderId="46" xfId="0" applyNumberFormat="1" applyFont="1" applyFill="1" applyBorder="1" applyAlignment="1" applyProtection="1">
      <alignment vertical="center"/>
      <protection locked="0"/>
    </xf>
    <xf numFmtId="170" fontId="2" fillId="3" borderId="83" xfId="0" applyNumberFormat="1" applyFont="1" applyFill="1" applyBorder="1" applyAlignment="1" applyProtection="1">
      <alignment vertical="center"/>
      <protection/>
    </xf>
    <xf numFmtId="170" fontId="2" fillId="3" borderId="2" xfId="0" applyNumberFormat="1" applyFont="1" applyFill="1" applyBorder="1" applyAlignment="1" applyProtection="1">
      <alignment vertical="center"/>
      <protection/>
    </xf>
    <xf numFmtId="170" fontId="2" fillId="3" borderId="46" xfId="0" applyNumberFormat="1" applyFont="1" applyFill="1" applyBorder="1" applyAlignment="1" applyProtection="1">
      <alignment vertical="center"/>
      <protection/>
    </xf>
    <xf numFmtId="10" fontId="1" fillId="4" borderId="83" xfId="0" applyNumberFormat="1" applyFont="1" applyFill="1" applyBorder="1" applyAlignment="1" applyProtection="1">
      <alignment vertical="center"/>
      <protection/>
    </xf>
    <xf numFmtId="10" fontId="11" fillId="0" borderId="2" xfId="0" applyNumberFormat="1" applyFont="1" applyFill="1" applyBorder="1" applyAlignment="1" applyProtection="1">
      <alignment vertical="center"/>
      <protection/>
    </xf>
    <xf numFmtId="10" fontId="11" fillId="3" borderId="46" xfId="0" applyNumberFormat="1" applyFont="1" applyFill="1" applyBorder="1" applyAlignment="1" applyProtection="1">
      <alignment vertical="center"/>
      <protection/>
    </xf>
    <xf numFmtId="49" fontId="0" fillId="0" borderId="67" xfId="0" applyNumberFormat="1" applyBorder="1" applyAlignment="1" applyProtection="1">
      <alignment horizontal="center" vertical="center"/>
      <protection/>
    </xf>
    <xf numFmtId="0" fontId="11" fillId="0" borderId="94" xfId="0" applyFont="1" applyFill="1" applyBorder="1" applyAlignment="1" applyProtection="1">
      <alignment horizontal="center" vertical="center" wrapText="1"/>
      <protection/>
    </xf>
    <xf numFmtId="10" fontId="1" fillId="4" borderId="93" xfId="0" applyNumberFormat="1" applyFont="1" applyFill="1" applyBorder="1" applyAlignment="1" applyProtection="1">
      <alignment vertical="center"/>
      <protection/>
    </xf>
    <xf numFmtId="10" fontId="2" fillId="3" borderId="19" xfId="0" applyNumberFormat="1" applyFont="1" applyFill="1" applyBorder="1" applyAlignment="1" applyProtection="1">
      <alignment vertical="center"/>
      <protection/>
    </xf>
    <xf numFmtId="10" fontId="2" fillId="0" borderId="19" xfId="0" applyNumberFormat="1" applyFont="1" applyFill="1" applyBorder="1" applyAlignment="1" applyProtection="1">
      <alignment vertical="center"/>
      <protection/>
    </xf>
    <xf numFmtId="10" fontId="2" fillId="3" borderId="94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Alignment="1" applyProtection="1" quotePrefix="1">
      <alignment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/>
      <protection/>
    </xf>
    <xf numFmtId="0" fontId="1" fillId="4" borderId="112" xfId="0" applyFont="1" applyFill="1" applyBorder="1" applyAlignment="1" applyProtection="1">
      <alignment horizontal="center"/>
      <protection/>
    </xf>
    <xf numFmtId="0" fontId="2" fillId="4" borderId="32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49" fontId="1" fillId="4" borderId="4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 applyProtection="1">
      <alignment horizontal="center" vertical="center"/>
      <protection/>
    </xf>
    <xf numFmtId="170" fontId="2" fillId="3" borderId="43" xfId="0" applyNumberFormat="1" applyFont="1" applyFill="1" applyBorder="1" applyAlignment="1" applyProtection="1">
      <alignment horizontal="right" vertical="center"/>
      <protection/>
    </xf>
    <xf numFmtId="170" fontId="2" fillId="3" borderId="15" xfId="0" applyNumberFormat="1" applyFont="1" applyFill="1" applyBorder="1" applyAlignment="1" applyProtection="1">
      <alignment horizontal="right" vertical="center"/>
      <protection/>
    </xf>
    <xf numFmtId="170" fontId="2" fillId="3" borderId="42" xfId="0" applyNumberFormat="1" applyFont="1" applyFill="1" applyBorder="1" applyAlignment="1" applyProtection="1">
      <alignment horizontal="right" vertical="center"/>
      <protection/>
    </xf>
    <xf numFmtId="49" fontId="1" fillId="4" borderId="65" xfId="0" applyNumberFormat="1" applyFont="1" applyFill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170" fontId="1" fillId="3" borderId="46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vertical="center"/>
      <protection/>
    </xf>
    <xf numFmtId="170" fontId="1" fillId="0" borderId="2" xfId="0" applyNumberFormat="1" applyFont="1" applyFill="1" applyBorder="1" applyAlignment="1" applyProtection="1">
      <alignment horizontal="right" vertical="center"/>
      <protection/>
    </xf>
    <xf numFmtId="170" fontId="1" fillId="0" borderId="46" xfId="0" applyNumberFormat="1" applyFont="1" applyFill="1" applyBorder="1" applyAlignment="1" applyProtection="1">
      <alignment horizontal="right" vertical="center"/>
      <protection/>
    </xf>
    <xf numFmtId="49" fontId="0" fillId="4" borderId="65" xfId="0" applyNumberFormat="1" applyFont="1" applyFill="1" applyBorder="1" applyAlignment="1" applyProtection="1">
      <alignment horizontal="center" vertical="center"/>
      <protection/>
    </xf>
    <xf numFmtId="170" fontId="1" fillId="2" borderId="46" xfId="0" applyNumberFormat="1" applyFont="1" applyFill="1" applyBorder="1" applyAlignment="1" applyProtection="1">
      <alignment horizontal="right" vertical="center"/>
      <protection locked="0"/>
    </xf>
    <xf numFmtId="49" fontId="0" fillId="4" borderId="65" xfId="0" applyNumberFormat="1" applyFill="1" applyBorder="1" applyAlignment="1" applyProtection="1">
      <alignment horizontal="center" vertical="center"/>
      <protection/>
    </xf>
    <xf numFmtId="49" fontId="0" fillId="4" borderId="67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170" fontId="1" fillId="2" borderId="18" xfId="0" applyNumberFormat="1" applyFont="1" applyFill="1" applyBorder="1" applyAlignment="1" applyProtection="1">
      <alignment horizontal="right" vertical="center"/>
      <protection locked="0"/>
    </xf>
    <xf numFmtId="170" fontId="1" fillId="2" borderId="19" xfId="0" applyNumberFormat="1" applyFont="1" applyFill="1" applyBorder="1" applyAlignment="1" applyProtection="1">
      <alignment horizontal="right" vertical="center"/>
      <protection locked="0"/>
    </xf>
    <xf numFmtId="170" fontId="1" fillId="3" borderId="19" xfId="0" applyNumberFormat="1" applyFont="1" applyFill="1" applyBorder="1" applyAlignment="1" applyProtection="1">
      <alignment horizontal="right" vertical="center"/>
      <protection/>
    </xf>
    <xf numFmtId="170" fontId="1" fillId="2" borderId="94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 applyProtection="1">
      <alignment vertical="center"/>
      <protection/>
    </xf>
    <xf numFmtId="0" fontId="1" fillId="4" borderId="0" xfId="0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4" borderId="113" xfId="0" applyNumberFormat="1" applyFont="1" applyFill="1" applyBorder="1" applyAlignment="1" applyProtection="1">
      <alignment horizontal="center" vertical="center"/>
      <protection/>
    </xf>
    <xf numFmtId="0" fontId="2" fillId="5" borderId="114" xfId="0" applyFont="1" applyFill="1" applyBorder="1" applyAlignment="1" applyProtection="1">
      <alignment vertical="center"/>
      <protection/>
    </xf>
    <xf numFmtId="0" fontId="2" fillId="0" borderId="115" xfId="0" applyFont="1" applyFill="1" applyBorder="1" applyAlignment="1" applyProtection="1">
      <alignment horizontal="center" vertical="center"/>
      <protection/>
    </xf>
    <xf numFmtId="170" fontId="2" fillId="3" borderId="116" xfId="0" applyNumberFormat="1" applyFont="1" applyFill="1" applyBorder="1" applyAlignment="1" applyProtection="1">
      <alignment horizontal="right" vertical="center"/>
      <protection/>
    </xf>
    <xf numFmtId="170" fontId="2" fillId="3" borderId="114" xfId="0" applyNumberFormat="1" applyFont="1" applyFill="1" applyBorder="1" applyAlignment="1" applyProtection="1">
      <alignment horizontal="right" vertical="center"/>
      <protection/>
    </xf>
    <xf numFmtId="170" fontId="2" fillId="3" borderId="117" xfId="0" applyNumberFormat="1" applyFont="1" applyFill="1" applyBorder="1" applyAlignment="1" applyProtection="1">
      <alignment horizontal="right" vertical="center"/>
      <protection/>
    </xf>
    <xf numFmtId="0" fontId="21" fillId="0" borderId="2" xfId="0" applyFont="1" applyFill="1" applyBorder="1" applyAlignment="1" applyProtection="1">
      <alignment vertical="center"/>
      <protection/>
    </xf>
    <xf numFmtId="170" fontId="1" fillId="0" borderId="16" xfId="0" applyNumberFormat="1" applyFont="1" applyFill="1" applyBorder="1" applyAlignment="1" applyProtection="1">
      <alignment horizontal="right" vertical="center"/>
      <protection/>
    </xf>
    <xf numFmtId="170" fontId="1" fillId="6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horizontal="left" vertical="center" wrapText="1" indent="1"/>
      <protection/>
    </xf>
    <xf numFmtId="0" fontId="0" fillId="0" borderId="2" xfId="0" applyFill="1" applyBorder="1" applyAlignment="1" applyProtection="1">
      <alignment horizontal="left" vertical="center" indent="1"/>
      <protection/>
    </xf>
    <xf numFmtId="0" fontId="0" fillId="0" borderId="29" xfId="0" applyFill="1" applyBorder="1" applyAlignment="1" applyProtection="1">
      <alignment horizontal="center" vertical="center"/>
      <protection/>
    </xf>
    <xf numFmtId="10" fontId="1" fillId="3" borderId="16" xfId="0" applyNumberFormat="1" applyFont="1" applyFill="1" applyBorder="1" applyAlignment="1" applyProtection="1">
      <alignment horizontal="right" vertical="center"/>
      <protection/>
    </xf>
    <xf numFmtId="3" fontId="1" fillId="3" borderId="16" xfId="0" applyNumberFormat="1" applyFont="1" applyFill="1" applyBorder="1" applyAlignment="1" applyProtection="1">
      <alignment horizontal="right" vertical="center"/>
      <protection/>
    </xf>
    <xf numFmtId="170" fontId="0" fillId="3" borderId="16" xfId="0" applyNumberForma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170" fontId="2" fillId="3" borderId="2" xfId="0" applyNumberFormat="1" applyFont="1" applyFill="1" applyBorder="1" applyAlignment="1" applyProtection="1">
      <alignment horizontal="right" vertical="center"/>
      <protection/>
    </xf>
    <xf numFmtId="170" fontId="13" fillId="3" borderId="46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left" vertical="center" wrapText="1" indent="1"/>
      <protection/>
    </xf>
    <xf numFmtId="0" fontId="1" fillId="0" borderId="2" xfId="0" applyFont="1" applyBorder="1" applyAlignment="1" applyProtection="1">
      <alignment horizontal="left" vertical="center" indent="1"/>
      <protection/>
    </xf>
    <xf numFmtId="0" fontId="1" fillId="0" borderId="29" xfId="0" applyFont="1" applyBorder="1" applyAlignment="1" applyProtection="1">
      <alignment horizontal="center" vertical="center"/>
      <protection/>
    </xf>
    <xf numFmtId="49" fontId="1" fillId="5" borderId="65" xfId="0" applyNumberFormat="1" applyFont="1" applyFill="1" applyBorder="1" applyAlignment="1" applyProtection="1">
      <alignment horizontal="center" vertical="center"/>
      <protection/>
    </xf>
    <xf numFmtId="0" fontId="0" fillId="5" borderId="2" xfId="0" applyFill="1" applyBorder="1" applyAlignment="1" applyProtection="1">
      <alignment horizontal="left" vertical="center" indent="2"/>
      <protection/>
    </xf>
    <xf numFmtId="0" fontId="1" fillId="5" borderId="29" xfId="0" applyFont="1" applyFill="1" applyBorder="1" applyAlignment="1" applyProtection="1">
      <alignment horizontal="center" vertical="center"/>
      <protection/>
    </xf>
    <xf numFmtId="170" fontId="1" fillId="5" borderId="16" xfId="0" applyNumberFormat="1" applyFont="1" applyFill="1" applyBorder="1" applyAlignment="1" applyProtection="1">
      <alignment horizontal="right" vertical="center"/>
      <protection/>
    </xf>
    <xf numFmtId="170" fontId="1" fillId="5" borderId="2" xfId="0" applyNumberFormat="1" applyFont="1" applyFill="1" applyBorder="1" applyAlignment="1" applyProtection="1">
      <alignment horizontal="right" vertical="center"/>
      <protection/>
    </xf>
    <xf numFmtId="170" fontId="1" fillId="5" borderId="46" xfId="0" applyNumberFormat="1" applyFont="1" applyFill="1" applyBorder="1" applyAlignment="1" applyProtection="1">
      <alignment horizontal="right" vertical="center"/>
      <protection/>
    </xf>
    <xf numFmtId="49" fontId="0" fillId="5" borderId="65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left" vertical="center" indent="2"/>
      <protection/>
    </xf>
    <xf numFmtId="0" fontId="0" fillId="0" borderId="2" xfId="0" applyFill="1" applyBorder="1" applyAlignment="1" applyProtection="1">
      <alignment horizontal="left" vertical="center" wrapText="1" indent="2"/>
      <protection/>
    </xf>
    <xf numFmtId="0" fontId="1" fillId="0" borderId="2" xfId="0" applyFont="1" applyBorder="1" applyAlignment="1" applyProtection="1">
      <alignment horizontal="left" vertical="center" wrapText="1" indent="2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indent="1"/>
      <protection/>
    </xf>
    <xf numFmtId="4" fontId="0" fillId="2" borderId="16" xfId="0" applyNumberFormat="1" applyFont="1" applyFill="1" applyBorder="1" applyAlignment="1" applyProtection="1">
      <alignment horizontal="right" vertical="center"/>
      <protection locked="0"/>
    </xf>
    <xf numFmtId="4" fontId="0" fillId="3" borderId="2" xfId="0" applyNumberFormat="1" applyFont="1" applyFill="1" applyBorder="1" applyAlignment="1" applyProtection="1">
      <alignment horizontal="right" vertical="center"/>
      <protection/>
    </xf>
    <xf numFmtId="4" fontId="1" fillId="3" borderId="2" xfId="0" applyNumberFormat="1" applyFont="1" applyFill="1" applyBorder="1" applyAlignment="1" applyProtection="1">
      <alignment horizontal="right" vertical="center"/>
      <protection/>
    </xf>
    <xf numFmtId="4" fontId="1" fillId="3" borderId="46" xfId="0" applyNumberFormat="1" applyFont="1" applyFill="1" applyBorder="1" applyAlignment="1" applyProtection="1">
      <alignment horizontal="right" vertical="center"/>
      <protection/>
    </xf>
    <xf numFmtId="166" fontId="1" fillId="2" borderId="16" xfId="0" applyNumberFormat="1" applyFont="1" applyFill="1" applyBorder="1" applyAlignment="1" applyProtection="1">
      <alignment horizontal="right" vertical="center"/>
      <protection locked="0"/>
    </xf>
    <xf numFmtId="166" fontId="1" fillId="2" borderId="2" xfId="0" applyNumberFormat="1" applyFont="1" applyFill="1" applyBorder="1" applyAlignment="1" applyProtection="1">
      <alignment horizontal="right" vertical="center"/>
      <protection locked="0"/>
    </xf>
    <xf numFmtId="166" fontId="1" fillId="3" borderId="46" xfId="0" applyNumberFormat="1" applyFont="1" applyFill="1" applyBorder="1" applyAlignment="1" applyProtection="1">
      <alignment horizontal="right" vertical="center"/>
      <protection/>
    </xf>
    <xf numFmtId="166" fontId="1" fillId="3" borderId="16" xfId="0" applyNumberFormat="1" applyFont="1" applyFill="1" applyBorder="1" applyAlignment="1" applyProtection="1">
      <alignment horizontal="right" vertical="center"/>
      <protection/>
    </xf>
    <xf numFmtId="166" fontId="1" fillId="3" borderId="2" xfId="0" applyNumberFormat="1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 applyProtection="1">
      <alignment horizontal="left" vertical="center" indent="1"/>
      <protection/>
    </xf>
    <xf numFmtId="166" fontId="1" fillId="4" borderId="16" xfId="0" applyNumberFormat="1" applyFont="1" applyFill="1" applyBorder="1" applyAlignment="1" applyProtection="1">
      <alignment horizontal="right" vertical="center"/>
      <protection/>
    </xf>
    <xf numFmtId="166" fontId="1" fillId="4" borderId="2" xfId="0" applyNumberFormat="1" applyFont="1" applyFill="1" applyBorder="1" applyAlignment="1" applyProtection="1">
      <alignment horizontal="right" vertical="center"/>
      <protection/>
    </xf>
    <xf numFmtId="166" fontId="1" fillId="4" borderId="46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170" fontId="2" fillId="3" borderId="16" xfId="0" applyNumberFormat="1" applyFont="1" applyFill="1" applyBorder="1" applyAlignment="1" applyProtection="1">
      <alignment horizontal="right" vertical="center"/>
      <protection/>
    </xf>
    <xf numFmtId="170" fontId="2" fillId="3" borderId="46" xfId="0" applyNumberFormat="1" applyFont="1" applyFill="1" applyBorder="1" applyAlignment="1" applyProtection="1">
      <alignment horizontal="right" vertical="center"/>
      <protection/>
    </xf>
    <xf numFmtId="49" fontId="1" fillId="4" borderId="67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1" fillId="0" borderId="68" xfId="0" applyFont="1" applyBorder="1" applyAlignment="1" applyProtection="1">
      <alignment horizontal="center" vertical="center"/>
      <protection/>
    </xf>
    <xf numFmtId="170" fontId="1" fillId="3" borderId="94" xfId="0" applyNumberFormat="1" applyFont="1" applyFill="1" applyBorder="1" applyAlignment="1" applyProtection="1">
      <alignment horizontal="right" vertical="center"/>
      <protection/>
    </xf>
    <xf numFmtId="0" fontId="1" fillId="4" borderId="0" xfId="0" applyNumberFormat="1" applyFont="1" applyFill="1" applyBorder="1" applyAlignment="1" applyProtection="1">
      <alignment horizontal="right" vertical="center"/>
      <protection/>
    </xf>
    <xf numFmtId="0" fontId="2" fillId="4" borderId="0" xfId="0" applyFont="1" applyFill="1" applyAlignment="1" applyProtection="1">
      <alignment horizontal="centerContinuous" vertical="center"/>
      <protection/>
    </xf>
    <xf numFmtId="0" fontId="1" fillId="4" borderId="0" xfId="0" applyFont="1" applyFill="1" applyAlignment="1" applyProtection="1">
      <alignment horizontal="centerContinuous" vertical="center"/>
      <protection/>
    </xf>
    <xf numFmtId="0" fontId="1" fillId="4" borderId="0" xfId="0" applyNumberFormat="1" applyFont="1" applyFill="1" applyAlignment="1" applyProtection="1">
      <alignment horizontal="right" vertical="center"/>
      <protection/>
    </xf>
    <xf numFmtId="0" fontId="2" fillId="7" borderId="61" xfId="0" applyNumberFormat="1" applyFont="1" applyFill="1" applyBorder="1" applyAlignment="1" applyProtection="1">
      <alignment horizontal="center" vertical="center" wrapText="1"/>
      <protection/>
    </xf>
    <xf numFmtId="0" fontId="2" fillId="7" borderId="23" xfId="0" applyFont="1" applyFill="1" applyBorder="1" applyAlignment="1" applyProtection="1">
      <alignment vertical="center"/>
      <protection/>
    </xf>
    <xf numFmtId="0" fontId="2" fillId="7" borderId="37" xfId="0" applyFont="1" applyFill="1" applyBorder="1" applyAlignment="1" applyProtection="1">
      <alignment horizontal="center" vertical="center"/>
      <protection/>
    </xf>
    <xf numFmtId="0" fontId="2" fillId="7" borderId="118" xfId="0" applyNumberFormat="1" applyFont="1" applyFill="1" applyBorder="1" applyAlignment="1" applyProtection="1">
      <alignment horizontal="right" vertical="center"/>
      <protection/>
    </xf>
    <xf numFmtId="0" fontId="2" fillId="7" borderId="119" xfId="0" applyNumberFormat="1" applyFont="1" applyFill="1" applyBorder="1" applyAlignment="1" applyProtection="1">
      <alignment horizontal="right" vertical="center"/>
      <protection/>
    </xf>
    <xf numFmtId="0" fontId="2" fillId="7" borderId="120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170" fontId="2" fillId="3" borderId="121" xfId="0" applyNumberFormat="1" applyFont="1" applyFill="1" applyBorder="1" applyAlignment="1" applyProtection="1">
      <alignment horizontal="right" vertical="center"/>
      <protection/>
    </xf>
    <xf numFmtId="170" fontId="2" fillId="3" borderId="122" xfId="0" applyNumberFormat="1" applyFont="1" applyFill="1" applyBorder="1" applyAlignment="1" applyProtection="1">
      <alignment horizontal="right" vertical="center"/>
      <protection/>
    </xf>
    <xf numFmtId="170" fontId="2" fillId="3" borderId="123" xfId="0" applyNumberFormat="1" applyFont="1" applyFill="1" applyBorder="1" applyAlignment="1" applyProtection="1">
      <alignment horizontal="right" vertical="center"/>
      <protection/>
    </xf>
    <xf numFmtId="170" fontId="2" fillId="3" borderId="28" xfId="0" applyNumberFormat="1" applyFont="1" applyFill="1" applyBorder="1" applyAlignment="1" applyProtection="1">
      <alignment horizontal="right" vertical="center"/>
      <protection/>
    </xf>
    <xf numFmtId="170" fontId="2" fillId="3" borderId="64" xfId="0" applyNumberFormat="1" applyFont="1" applyFill="1" applyBorder="1" applyAlignment="1" applyProtection="1">
      <alignment horizontal="right" vertical="center"/>
      <protection/>
    </xf>
    <xf numFmtId="0" fontId="1" fillId="0" borderId="65" xfId="0" applyFont="1" applyBorder="1" applyAlignment="1" applyProtection="1">
      <alignment horizontal="left" vertical="center" indent="1"/>
      <protection/>
    </xf>
    <xf numFmtId="170" fontId="1" fillId="3" borderId="17" xfId="0" applyNumberFormat="1" applyFont="1" applyFill="1" applyBorder="1" applyAlignment="1" applyProtection="1">
      <alignment horizontal="right" vertical="center"/>
      <protection/>
    </xf>
    <xf numFmtId="0" fontId="2" fillId="0" borderId="65" xfId="0" applyFont="1" applyBorder="1" applyAlignment="1" applyProtection="1">
      <alignment vertical="center"/>
      <protection/>
    </xf>
    <xf numFmtId="170" fontId="2" fillId="3" borderId="83" xfId="0" applyNumberFormat="1" applyFont="1" applyFill="1" applyBorder="1" applyAlignment="1" applyProtection="1">
      <alignment horizontal="right" vertical="center"/>
      <protection/>
    </xf>
    <xf numFmtId="170" fontId="2" fillId="3" borderId="124" xfId="0" applyNumberFormat="1" applyFont="1" applyFill="1" applyBorder="1" applyAlignment="1" applyProtection="1">
      <alignment horizontal="right" vertical="center"/>
      <protection/>
    </xf>
    <xf numFmtId="170" fontId="2" fillId="3" borderId="17" xfId="0" applyNumberFormat="1" applyFont="1" applyFill="1" applyBorder="1" applyAlignment="1" applyProtection="1">
      <alignment horizontal="right" vertical="center"/>
      <protection/>
    </xf>
    <xf numFmtId="170" fontId="2" fillId="3" borderId="29" xfId="0" applyNumberFormat="1" applyFont="1" applyFill="1" applyBorder="1" applyAlignment="1" applyProtection="1">
      <alignment horizontal="right" vertical="center"/>
      <protection/>
    </xf>
    <xf numFmtId="170" fontId="1" fillId="3" borderId="83" xfId="0" applyNumberFormat="1" applyFont="1" applyFill="1" applyBorder="1" applyAlignment="1" applyProtection="1">
      <alignment horizontal="right" vertical="center"/>
      <protection/>
    </xf>
    <xf numFmtId="170" fontId="1" fillId="3" borderId="124" xfId="0" applyNumberFormat="1" applyFont="1" applyFill="1" applyBorder="1" applyAlignment="1" applyProtection="1">
      <alignment horizontal="right" vertical="center"/>
      <protection/>
    </xf>
    <xf numFmtId="0" fontId="1" fillId="0" borderId="65" xfId="0" applyFont="1" applyBorder="1" applyAlignment="1" applyProtection="1">
      <alignment horizontal="left" vertical="center" indent="2"/>
      <protection/>
    </xf>
    <xf numFmtId="170" fontId="1" fillId="2" borderId="83" xfId="0" applyNumberFormat="1" applyFont="1" applyFill="1" applyBorder="1" applyAlignment="1" applyProtection="1">
      <alignment horizontal="right" vertical="center"/>
      <protection locked="0"/>
    </xf>
    <xf numFmtId="170" fontId="1" fillId="2" borderId="124" xfId="0" applyNumberFormat="1" applyFont="1" applyFill="1" applyBorder="1" applyAlignment="1" applyProtection="1">
      <alignment horizontal="right" vertical="center"/>
      <protection locked="0"/>
    </xf>
    <xf numFmtId="170" fontId="1" fillId="2" borderId="29" xfId="0" applyNumberFormat="1" applyFont="1" applyFill="1" applyBorder="1" applyAlignment="1" applyProtection="1">
      <alignment horizontal="right" vertical="center"/>
      <protection locked="0"/>
    </xf>
    <xf numFmtId="0" fontId="1" fillId="0" borderId="65" xfId="0" applyFont="1" applyBorder="1" applyAlignment="1" applyProtection="1">
      <alignment horizontal="left" vertical="center" wrapText="1" indent="2"/>
      <protection/>
    </xf>
    <xf numFmtId="9" fontId="2" fillId="2" borderId="83" xfId="0" applyNumberFormat="1" applyFont="1" applyFill="1" applyBorder="1" applyAlignment="1" applyProtection="1">
      <alignment horizontal="right" vertical="center"/>
      <protection locked="0"/>
    </xf>
    <xf numFmtId="9" fontId="2" fillId="2" borderId="124" xfId="0" applyNumberFormat="1" applyFont="1" applyFill="1" applyBorder="1" applyAlignment="1" applyProtection="1">
      <alignment horizontal="right" vertical="center"/>
      <protection locked="0"/>
    </xf>
    <xf numFmtId="9" fontId="2" fillId="2" borderId="2" xfId="0" applyNumberFormat="1" applyFont="1" applyFill="1" applyBorder="1" applyAlignment="1" applyProtection="1">
      <alignment horizontal="right" vertical="center"/>
      <protection locked="0"/>
    </xf>
    <xf numFmtId="9" fontId="2" fillId="2" borderId="17" xfId="0" applyNumberFormat="1" applyFont="1" applyFill="1" applyBorder="1" applyAlignment="1" applyProtection="1">
      <alignment horizontal="right" vertical="center"/>
      <protection locked="0"/>
    </xf>
    <xf numFmtId="9" fontId="2" fillId="2" borderId="29" xfId="0" applyNumberFormat="1" applyFont="1" applyFill="1" applyBorder="1" applyAlignment="1" applyProtection="1">
      <alignment horizontal="right" vertical="center"/>
      <protection locked="0"/>
    </xf>
    <xf numFmtId="49" fontId="1" fillId="4" borderId="32" xfId="0" applyNumberFormat="1" applyFont="1" applyFill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vertical="center"/>
      <protection/>
    </xf>
    <xf numFmtId="0" fontId="2" fillId="0" borderId="68" xfId="0" applyFont="1" applyBorder="1" applyAlignment="1" applyProtection="1">
      <alignment horizontal="center" vertical="center"/>
      <protection/>
    </xf>
    <xf numFmtId="170" fontId="2" fillId="3" borderId="93" xfId="0" applyNumberFormat="1" applyFont="1" applyFill="1" applyBorder="1" applyAlignment="1" applyProtection="1">
      <alignment horizontal="right" vertical="center"/>
      <protection/>
    </xf>
    <xf numFmtId="170" fontId="2" fillId="3" borderId="125" xfId="0" applyNumberFormat="1" applyFont="1" applyFill="1" applyBorder="1" applyAlignment="1" applyProtection="1">
      <alignment horizontal="right" vertical="center"/>
      <protection/>
    </xf>
    <xf numFmtId="170" fontId="2" fillId="3" borderId="22" xfId="0" applyNumberFormat="1" applyFont="1" applyFill="1" applyBorder="1" applyAlignment="1" applyProtection="1">
      <alignment horizontal="right" vertical="center"/>
      <protection/>
    </xf>
    <xf numFmtId="0" fontId="2" fillId="4" borderId="0" xfId="0" applyFont="1" applyFill="1" applyBorder="1" applyAlignment="1" applyProtection="1">
      <alignment vertical="center"/>
      <protection/>
    </xf>
    <xf numFmtId="0" fontId="2" fillId="7" borderId="126" xfId="0" applyNumberFormat="1" applyFont="1" applyFill="1" applyBorder="1" applyAlignment="1" applyProtection="1">
      <alignment horizontal="right" vertical="center"/>
      <protection/>
    </xf>
    <xf numFmtId="0" fontId="2" fillId="0" borderId="40" xfId="0" applyFont="1" applyFill="1" applyBorder="1" applyAlignment="1" applyProtection="1">
      <alignment horizontal="left" vertical="center"/>
      <protection/>
    </xf>
    <xf numFmtId="170" fontId="2" fillId="4" borderId="121" xfId="0" applyNumberFormat="1" applyFont="1" applyFill="1" applyBorder="1" applyAlignment="1" applyProtection="1">
      <alignment horizontal="right" vertical="center"/>
      <protection/>
    </xf>
    <xf numFmtId="170" fontId="2" fillId="4" borderId="127" xfId="0" applyNumberFormat="1" applyFont="1" applyFill="1" applyBorder="1" applyAlignment="1" applyProtection="1">
      <alignment horizontal="right" vertical="center"/>
      <protection/>
    </xf>
    <xf numFmtId="170" fontId="2" fillId="3" borderId="128" xfId="0" applyNumberFormat="1" applyFont="1" applyFill="1" applyBorder="1" applyAlignment="1" applyProtection="1">
      <alignment horizontal="right" vertical="center"/>
      <protection/>
    </xf>
    <xf numFmtId="0" fontId="2" fillId="0" borderId="65" xfId="0" applyFont="1" applyFill="1" applyBorder="1" applyAlignment="1" applyProtection="1">
      <alignment horizontal="left" vertical="center"/>
      <protection/>
    </xf>
    <xf numFmtId="170" fontId="2" fillId="4" borderId="83" xfId="0" applyNumberFormat="1" applyFont="1" applyFill="1" applyBorder="1" applyAlignment="1" applyProtection="1">
      <alignment horizontal="right" vertical="center"/>
      <protection/>
    </xf>
    <xf numFmtId="170" fontId="2" fillId="4" borderId="124" xfId="0" applyNumberFormat="1" applyFont="1" applyFill="1" applyBorder="1" applyAlignment="1" applyProtection="1">
      <alignment horizontal="right" vertical="center"/>
      <protection/>
    </xf>
    <xf numFmtId="0" fontId="11" fillId="0" borderId="65" xfId="0" applyNumberFormat="1" applyFont="1" applyBorder="1" applyAlignment="1" applyProtection="1">
      <alignment horizontal="left" vertical="center" wrapText="1" indent="1"/>
      <protection/>
    </xf>
    <xf numFmtId="170" fontId="1" fillId="4" borderId="83" xfId="0" applyNumberFormat="1" applyFont="1" applyFill="1" applyBorder="1" applyAlignment="1" applyProtection="1">
      <alignment horizontal="right" vertical="center"/>
      <protection/>
    </xf>
    <xf numFmtId="170" fontId="1" fillId="4" borderId="124" xfId="0" applyNumberFormat="1" applyFont="1" applyFill="1" applyBorder="1" applyAlignment="1" applyProtection="1">
      <alignment horizontal="right" vertical="center"/>
      <protection/>
    </xf>
    <xf numFmtId="49" fontId="1" fillId="4" borderId="47" xfId="0" applyNumberFormat="1" applyFont="1" applyFill="1" applyBorder="1" applyAlignment="1" applyProtection="1">
      <alignment horizontal="center" vertical="center"/>
      <protection/>
    </xf>
    <xf numFmtId="0" fontId="11" fillId="0" borderId="85" xfId="0" applyNumberFormat="1" applyFont="1" applyBorder="1" applyAlignment="1" applyProtection="1">
      <alignment horizontal="left" vertical="center" wrapText="1" indent="1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170" fontId="1" fillId="4" borderId="87" xfId="0" applyNumberFormat="1" applyFont="1" applyFill="1" applyBorder="1" applyAlignment="1" applyProtection="1">
      <alignment horizontal="right" vertical="center"/>
      <protection/>
    </xf>
    <xf numFmtId="170" fontId="1" fillId="4" borderId="129" xfId="0" applyNumberFormat="1" applyFont="1" applyFill="1" applyBorder="1" applyAlignment="1" applyProtection="1">
      <alignment horizontal="right" vertical="center"/>
      <protection/>
    </xf>
    <xf numFmtId="170" fontId="1" fillId="3" borderId="21" xfId="0" applyNumberFormat="1" applyFont="1" applyFill="1" applyBorder="1" applyAlignment="1" applyProtection="1">
      <alignment horizontal="right" vertical="center"/>
      <protection/>
    </xf>
    <xf numFmtId="170" fontId="1" fillId="3" borderId="49" xfId="0" applyNumberFormat="1" applyFont="1" applyFill="1" applyBorder="1" applyAlignment="1" applyProtection="1">
      <alignment horizontal="right" vertical="center"/>
      <protection/>
    </xf>
    <xf numFmtId="49" fontId="1" fillId="4" borderId="130" xfId="0" applyNumberFormat="1" applyFont="1" applyFill="1" applyBorder="1" applyAlignment="1" applyProtection="1">
      <alignment horizontal="center" vertical="center"/>
      <protection/>
    </xf>
    <xf numFmtId="0" fontId="13" fillId="0" borderId="130" xfId="0" applyNumberFormat="1" applyFont="1" applyFill="1" applyBorder="1" applyAlignment="1" applyProtection="1">
      <alignment horizontal="left" vertical="center" wrapText="1"/>
      <protection/>
    </xf>
    <xf numFmtId="0" fontId="2" fillId="0" borderId="131" xfId="0" applyFont="1" applyFill="1" applyBorder="1" applyAlignment="1" applyProtection="1">
      <alignment horizontal="center" vertical="center"/>
      <protection/>
    </xf>
    <xf numFmtId="170" fontId="2" fillId="4" borderId="122" xfId="0" applyNumberFormat="1" applyFont="1" applyFill="1" applyBorder="1" applyAlignment="1" applyProtection="1">
      <alignment horizontal="right" vertical="center"/>
      <protection/>
    </xf>
    <xf numFmtId="0" fontId="11" fillId="0" borderId="65" xfId="0" applyNumberFormat="1" applyFont="1" applyFill="1" applyBorder="1" applyAlignment="1" applyProtection="1">
      <alignment horizontal="left" vertical="center" wrapText="1"/>
      <protection/>
    </xf>
    <xf numFmtId="0" fontId="1" fillId="0" borderId="132" xfId="0" applyFont="1" applyBorder="1" applyAlignment="1" applyProtection="1">
      <alignment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170" fontId="1" fillId="4" borderId="133" xfId="0" applyNumberFormat="1" applyFont="1" applyFill="1" applyBorder="1" applyAlignment="1" applyProtection="1">
      <alignment horizontal="right" vertical="center"/>
      <protection/>
    </xf>
    <xf numFmtId="170" fontId="1" fillId="4" borderId="134" xfId="0" applyNumberFormat="1" applyFont="1" applyFill="1" applyBorder="1" applyAlignment="1" applyProtection="1">
      <alignment horizontal="right" vertical="center"/>
      <protection/>
    </xf>
    <xf numFmtId="170" fontId="1" fillId="3" borderId="20" xfId="0" applyNumberFormat="1" applyFont="1" applyFill="1" applyBorder="1" applyAlignment="1" applyProtection="1">
      <alignment horizontal="right" vertical="center"/>
      <protection/>
    </xf>
    <xf numFmtId="170" fontId="1" fillId="3" borderId="135" xfId="0" applyNumberFormat="1" applyFont="1" applyFill="1" applyBorder="1" applyAlignment="1" applyProtection="1">
      <alignment horizontal="right" vertical="center"/>
      <protection/>
    </xf>
    <xf numFmtId="49" fontId="1" fillId="4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2" fillId="0" borderId="136" xfId="0" applyFont="1" applyFill="1" applyBorder="1" applyAlignment="1" applyProtection="1">
      <alignment horizontal="center" vertical="center"/>
      <protection/>
    </xf>
    <xf numFmtId="170" fontId="2" fillId="4" borderId="137" xfId="0" applyNumberFormat="1" applyFont="1" applyFill="1" applyBorder="1" applyAlignment="1" applyProtection="1">
      <alignment horizontal="right" vertical="center"/>
      <protection/>
    </xf>
    <xf numFmtId="170" fontId="2" fillId="4" borderId="138" xfId="0" applyNumberFormat="1" applyFont="1" applyFill="1" applyBorder="1" applyAlignment="1" applyProtection="1">
      <alignment horizontal="right" vertical="center"/>
      <protection/>
    </xf>
    <xf numFmtId="170" fontId="2" fillId="3" borderId="107" xfId="0" applyNumberFormat="1" applyFont="1" applyFill="1" applyBorder="1" applyAlignment="1" applyProtection="1">
      <alignment horizontal="right" vertical="center"/>
      <protection/>
    </xf>
    <xf numFmtId="170" fontId="2" fillId="3" borderId="57" xfId="0" applyNumberFormat="1" applyFont="1" applyFill="1" applyBorder="1" applyAlignment="1" applyProtection="1">
      <alignment horizontal="right" vertical="center"/>
      <protection/>
    </xf>
    <xf numFmtId="0" fontId="2" fillId="4" borderId="139" xfId="0" applyFont="1" applyFill="1" applyBorder="1" applyAlignment="1" applyProtection="1">
      <alignment horizontal="center" vertical="center"/>
      <protection/>
    </xf>
    <xf numFmtId="0" fontId="2" fillId="4" borderId="0" xfId="0" applyNumberFormat="1" applyFont="1" applyFill="1" applyBorder="1" applyAlignment="1" applyProtection="1">
      <alignment horizontal="right" vertical="center"/>
      <protection/>
    </xf>
    <xf numFmtId="0" fontId="13" fillId="7" borderId="23" xfId="0" applyNumberFormat="1" applyFont="1" applyFill="1" applyBorder="1" applyAlignment="1" applyProtection="1">
      <alignment horizontal="left" vertical="center" wrapText="1"/>
      <protection/>
    </xf>
    <xf numFmtId="170" fontId="2" fillId="4" borderId="140" xfId="0" applyNumberFormat="1" applyFont="1" applyFill="1" applyBorder="1" applyAlignment="1" applyProtection="1">
      <alignment horizontal="right" vertical="center"/>
      <protection/>
    </xf>
    <xf numFmtId="170" fontId="2" fillId="4" borderId="141" xfId="0" applyNumberFormat="1" applyFont="1" applyFill="1" applyBorder="1" applyAlignment="1" applyProtection="1">
      <alignment horizontal="right" vertical="center"/>
      <protection/>
    </xf>
    <xf numFmtId="170" fontId="1" fillId="2" borderId="11" xfId="0" applyNumberFormat="1" applyFont="1" applyFill="1" applyBorder="1" applyAlignment="1" applyProtection="1">
      <alignment horizontal="right" vertical="center"/>
      <protection locked="0"/>
    </xf>
    <xf numFmtId="170" fontId="1" fillId="2" borderId="13" xfId="0" applyNumberFormat="1" applyFont="1" applyFill="1" applyBorder="1" applyAlignment="1" applyProtection="1">
      <alignment horizontal="right" vertical="center"/>
      <protection locked="0"/>
    </xf>
    <xf numFmtId="170" fontId="2" fillId="3" borderId="142" xfId="0" applyNumberFormat="1" applyFont="1" applyFill="1" applyBorder="1" applyAlignment="1" applyProtection="1">
      <alignment horizontal="right" vertical="center"/>
      <protection/>
    </xf>
    <xf numFmtId="0" fontId="11" fillId="0" borderId="65" xfId="0" applyNumberFormat="1" applyFont="1" applyFill="1" applyBorder="1" applyAlignment="1" applyProtection="1">
      <alignment horizontal="left" vertical="center" wrapText="1" indent="1"/>
      <protection/>
    </xf>
    <xf numFmtId="0" fontId="11" fillId="0" borderId="132" xfId="0" applyNumberFormat="1" applyFont="1" applyFill="1" applyBorder="1" applyAlignment="1" applyProtection="1">
      <alignment horizontal="left" vertical="center" wrapText="1" indent="1"/>
      <protection/>
    </xf>
    <xf numFmtId="170" fontId="1" fillId="3" borderId="143" xfId="0" applyNumberFormat="1" applyFont="1" applyFill="1" applyBorder="1" applyAlignment="1" applyProtection="1">
      <alignment horizontal="right" vertical="center"/>
      <protection/>
    </xf>
    <xf numFmtId="49" fontId="1" fillId="4" borderId="132" xfId="0" applyNumberFormat="1" applyFont="1" applyFill="1" applyBorder="1" applyAlignment="1" applyProtection="1">
      <alignment horizontal="center" vertical="center"/>
      <protection/>
    </xf>
    <xf numFmtId="0" fontId="11" fillId="0" borderId="67" xfId="0" applyNumberFormat="1" applyFont="1" applyFill="1" applyBorder="1" applyAlignment="1" applyProtection="1">
      <alignment horizontal="left" vertical="center" wrapText="1" indent="1"/>
      <protection/>
    </xf>
    <xf numFmtId="170" fontId="1" fillId="4" borderId="93" xfId="0" applyNumberFormat="1" applyFont="1" applyFill="1" applyBorder="1" applyAlignment="1" applyProtection="1">
      <alignment horizontal="right" vertical="center"/>
      <protection/>
    </xf>
    <xf numFmtId="170" fontId="1" fillId="4" borderId="125" xfId="0" applyNumberFormat="1" applyFont="1" applyFill="1" applyBorder="1" applyAlignment="1" applyProtection="1">
      <alignment horizontal="right" vertical="center"/>
      <protection/>
    </xf>
    <xf numFmtId="170" fontId="1" fillId="3" borderId="22" xfId="0" applyNumberFormat="1" applyFont="1" applyFill="1" applyBorder="1" applyAlignment="1" applyProtection="1">
      <alignment horizontal="right" vertical="center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right" vertical="center"/>
      <protection/>
    </xf>
    <xf numFmtId="0" fontId="13" fillId="0" borderId="40" xfId="0" applyNumberFormat="1" applyFont="1" applyBorder="1" applyAlignment="1" applyProtection="1">
      <alignment horizontal="left" vertical="center" wrapText="1"/>
      <protection/>
    </xf>
    <xf numFmtId="0" fontId="2" fillId="0" borderId="42" xfId="0" applyFont="1" applyFill="1" applyBorder="1" applyAlignment="1" applyProtection="1">
      <alignment horizontal="center" vertical="center"/>
      <protection/>
    </xf>
    <xf numFmtId="170" fontId="2" fillId="4" borderId="144" xfId="0" applyNumberFormat="1" applyFont="1" applyFill="1" applyBorder="1" applyAlignment="1" applyProtection="1">
      <alignment horizontal="right" vertical="center"/>
      <protection/>
    </xf>
    <xf numFmtId="170" fontId="2" fillId="3" borderId="130" xfId="0" applyNumberFormat="1" applyFont="1" applyFill="1" applyBorder="1" applyAlignment="1" applyProtection="1">
      <alignment horizontal="right" vertical="center"/>
      <protection/>
    </xf>
    <xf numFmtId="0" fontId="1" fillId="0" borderId="46" xfId="0" applyFont="1" applyFill="1" applyBorder="1" applyAlignment="1" applyProtection="1">
      <alignment horizontal="center" vertical="center"/>
      <protection/>
    </xf>
    <xf numFmtId="170" fontId="1" fillId="4" borderId="145" xfId="0" applyNumberFormat="1" applyFont="1" applyFill="1" applyBorder="1" applyAlignment="1" applyProtection="1">
      <alignment horizontal="right" vertical="center"/>
      <protection/>
    </xf>
    <xf numFmtId="170" fontId="1" fillId="4" borderId="146" xfId="0" applyNumberFormat="1" applyFont="1" applyFill="1" applyBorder="1" applyAlignment="1" applyProtection="1">
      <alignment horizontal="right" vertical="center"/>
      <protection/>
    </xf>
    <xf numFmtId="170" fontId="1" fillId="2" borderId="65" xfId="0" applyNumberFormat="1" applyFont="1" applyFill="1" applyBorder="1" applyAlignment="1" applyProtection="1">
      <alignment horizontal="right" vertical="center"/>
      <protection locked="0"/>
    </xf>
    <xf numFmtId="170" fontId="22" fillId="4" borderId="145" xfId="0" applyNumberFormat="1" applyFont="1" applyFill="1" applyBorder="1" applyAlignment="1" applyProtection="1">
      <alignment horizontal="right" vertical="center"/>
      <protection/>
    </xf>
    <xf numFmtId="170" fontId="22" fillId="4" borderId="146" xfId="0" applyNumberFormat="1" applyFont="1" applyFill="1" applyBorder="1" applyAlignment="1" applyProtection="1">
      <alignment horizontal="right" vertical="center"/>
      <protection/>
    </xf>
    <xf numFmtId="0" fontId="1" fillId="4" borderId="145" xfId="0" applyNumberFormat="1" applyFont="1" applyFill="1" applyBorder="1" applyAlignment="1" applyProtection="1">
      <alignment horizontal="right" vertical="center"/>
      <protection/>
    </xf>
    <xf numFmtId="0" fontId="1" fillId="4" borderId="146" xfId="0" applyNumberFormat="1" applyFont="1" applyFill="1" applyBorder="1" applyAlignment="1" applyProtection="1">
      <alignment horizontal="right" vertical="center"/>
      <protection/>
    </xf>
    <xf numFmtId="0" fontId="0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42" xfId="0" applyNumberFormat="1" applyFont="1" applyFill="1" applyBorder="1" applyAlignment="1" applyProtection="1">
      <alignment horizontal="right" vertical="center"/>
      <protection/>
    </xf>
    <xf numFmtId="0" fontId="13" fillId="0" borderId="65" xfId="0" applyNumberFormat="1" applyFont="1" applyBorder="1" applyAlignment="1" applyProtection="1">
      <alignment horizontal="left" vertical="center" wrapText="1"/>
      <protection/>
    </xf>
    <xf numFmtId="170" fontId="1" fillId="0" borderId="65" xfId="0" applyNumberFormat="1" applyFont="1" applyFill="1" applyBorder="1" applyAlignment="1" applyProtection="1">
      <alignment horizontal="right" vertical="center"/>
      <protection/>
    </xf>
    <xf numFmtId="170" fontId="1" fillId="0" borderId="17" xfId="0" applyNumberFormat="1" applyFont="1" applyFill="1" applyBorder="1" applyAlignment="1" applyProtection="1">
      <alignment horizontal="right" vertical="center"/>
      <protection/>
    </xf>
    <xf numFmtId="49" fontId="1" fillId="4" borderId="55" xfId="0" applyNumberFormat="1" applyFont="1" applyFill="1" applyBorder="1" applyAlignment="1" applyProtection="1">
      <alignment horizontal="center" vertical="center"/>
      <protection/>
    </xf>
    <xf numFmtId="0" fontId="11" fillId="0" borderId="67" xfId="0" applyNumberFormat="1" applyFont="1" applyBorder="1" applyAlignment="1" applyProtection="1">
      <alignment horizontal="left" vertical="center" wrapText="1" indent="1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49" fontId="1" fillId="7" borderId="147" xfId="0" applyNumberFormat="1" applyFont="1" applyFill="1" applyBorder="1" applyAlignment="1" applyProtection="1">
      <alignment horizontal="center" vertical="center"/>
      <protection/>
    </xf>
    <xf numFmtId="0" fontId="13" fillId="7" borderId="148" xfId="0" applyNumberFormat="1" applyFont="1" applyFill="1" applyBorder="1" applyAlignment="1" applyProtection="1">
      <alignment horizontal="left" vertical="center" wrapText="1"/>
      <protection/>
    </xf>
    <xf numFmtId="0" fontId="1" fillId="7" borderId="148" xfId="0" applyFont="1" applyFill="1" applyBorder="1" applyAlignment="1" applyProtection="1">
      <alignment horizontal="center" vertical="center"/>
      <protection/>
    </xf>
    <xf numFmtId="0" fontId="2" fillId="7" borderId="149" xfId="0" applyNumberFormat="1" applyFont="1" applyFill="1" applyBorder="1" applyAlignment="1" applyProtection="1">
      <alignment horizontal="right" vertical="center"/>
      <protection/>
    </xf>
    <xf numFmtId="0" fontId="2" fillId="7" borderId="148" xfId="0" applyNumberFormat="1" applyFont="1" applyFill="1" applyBorder="1" applyAlignment="1" applyProtection="1">
      <alignment horizontal="right" vertical="center"/>
      <protection/>
    </xf>
    <xf numFmtId="0" fontId="2" fillId="7" borderId="150" xfId="0" applyNumberFormat="1" applyFont="1" applyFill="1" applyBorder="1" applyAlignment="1" applyProtection="1">
      <alignment horizontal="right" vertical="center"/>
      <protection/>
    </xf>
    <xf numFmtId="0" fontId="11" fillId="0" borderId="130" xfId="0" applyNumberFormat="1" applyFont="1" applyBorder="1" applyAlignment="1" applyProtection="1">
      <alignment horizontal="left" vertical="center" wrapText="1"/>
      <protection/>
    </xf>
    <xf numFmtId="0" fontId="1" fillId="0" borderId="128" xfId="0" applyFont="1" applyFill="1" applyBorder="1" applyAlignment="1" applyProtection="1">
      <alignment horizontal="center" vertical="center"/>
      <protection/>
    </xf>
    <xf numFmtId="166" fontId="1" fillId="4" borderId="144" xfId="0" applyNumberFormat="1" applyFont="1" applyFill="1" applyBorder="1" applyAlignment="1" applyProtection="1">
      <alignment horizontal="right" vertical="center"/>
      <protection/>
    </xf>
    <xf numFmtId="166" fontId="1" fillId="4" borderId="127" xfId="0" applyNumberFormat="1" applyFont="1" applyFill="1" applyBorder="1" applyAlignment="1" applyProtection="1">
      <alignment horizontal="right" vertical="center"/>
      <protection/>
    </xf>
    <xf numFmtId="166" fontId="1" fillId="2" borderId="130" xfId="0" applyNumberFormat="1" applyFont="1" applyFill="1" applyBorder="1" applyAlignment="1" applyProtection="1">
      <alignment horizontal="right" vertical="center"/>
      <protection locked="0"/>
    </xf>
    <xf numFmtId="166" fontId="1" fillId="2" borderId="123" xfId="0" applyNumberFormat="1" applyFont="1" applyFill="1" applyBorder="1" applyAlignment="1" applyProtection="1">
      <alignment horizontal="right" vertical="center"/>
      <protection locked="0"/>
    </xf>
    <xf numFmtId="166" fontId="1" fillId="2" borderId="142" xfId="0" applyNumberFormat="1" applyFont="1" applyFill="1" applyBorder="1" applyAlignment="1" applyProtection="1">
      <alignment horizontal="right" vertical="center"/>
      <protection locked="0"/>
    </xf>
    <xf numFmtId="166" fontId="1" fillId="2" borderId="128" xfId="0" applyNumberFormat="1" applyFont="1" applyFill="1" applyBorder="1" applyAlignment="1" applyProtection="1">
      <alignment horizontal="right" vertical="center"/>
      <protection locked="0"/>
    </xf>
    <xf numFmtId="0" fontId="11" fillId="0" borderId="65" xfId="0" applyNumberFormat="1" applyFont="1" applyBorder="1" applyAlignment="1" applyProtection="1">
      <alignment horizontal="left" vertical="center" wrapText="1"/>
      <protection/>
    </xf>
    <xf numFmtId="170" fontId="1" fillId="3" borderId="65" xfId="0" applyNumberFormat="1" applyFont="1" applyFill="1" applyBorder="1" applyAlignment="1" applyProtection="1">
      <alignment horizontal="right" vertical="center"/>
      <protection/>
    </xf>
    <xf numFmtId="0" fontId="13" fillId="0" borderId="132" xfId="0" applyNumberFormat="1" applyFont="1" applyBorder="1" applyAlignment="1" applyProtection="1">
      <alignment horizontal="left" vertical="center" wrapText="1"/>
      <protection/>
    </xf>
    <xf numFmtId="0" fontId="2" fillId="0" borderId="135" xfId="0" applyFont="1" applyFill="1" applyBorder="1" applyAlignment="1" applyProtection="1">
      <alignment horizontal="center" vertical="center"/>
      <protection/>
    </xf>
    <xf numFmtId="170" fontId="2" fillId="4" borderId="151" xfId="0" applyNumberFormat="1" applyFont="1" applyFill="1" applyBorder="1" applyAlignment="1" applyProtection="1">
      <alignment horizontal="right" vertical="center"/>
      <protection/>
    </xf>
    <xf numFmtId="170" fontId="2" fillId="4" borderId="152" xfId="0" applyNumberFormat="1" applyFont="1" applyFill="1" applyBorder="1" applyAlignment="1" applyProtection="1">
      <alignment horizontal="right" vertical="center"/>
      <protection/>
    </xf>
    <xf numFmtId="170" fontId="2" fillId="3" borderId="132" xfId="0" applyNumberFormat="1" applyFont="1" applyFill="1" applyBorder="1" applyAlignment="1" applyProtection="1">
      <alignment horizontal="right" vertical="center"/>
      <protection/>
    </xf>
    <xf numFmtId="170" fontId="2" fillId="3" borderId="143" xfId="0" applyNumberFormat="1" applyFont="1" applyFill="1" applyBorder="1" applyAlignment="1" applyProtection="1">
      <alignment horizontal="right" vertical="center"/>
      <protection/>
    </xf>
    <xf numFmtId="170" fontId="2" fillId="3" borderId="135" xfId="0" applyNumberFormat="1" applyFont="1" applyFill="1" applyBorder="1" applyAlignment="1" applyProtection="1">
      <alignment horizontal="right" vertical="center"/>
      <protection/>
    </xf>
    <xf numFmtId="49" fontId="1" fillId="7" borderId="153" xfId="0" applyNumberFormat="1" applyFont="1" applyFill="1" applyBorder="1" applyAlignment="1" applyProtection="1">
      <alignment horizontal="center" vertical="center"/>
      <protection/>
    </xf>
    <xf numFmtId="0" fontId="13" fillId="7" borderId="27" xfId="0" applyNumberFormat="1" applyFont="1" applyFill="1" applyBorder="1" applyAlignment="1" applyProtection="1">
      <alignment horizontal="left" vertical="center" wrapText="1"/>
      <protection/>
    </xf>
    <xf numFmtId="0" fontId="1" fillId="7" borderId="154" xfId="0" applyFont="1" applyFill="1" applyBorder="1" applyAlignment="1" applyProtection="1">
      <alignment horizontal="center" vertical="center"/>
      <protection/>
    </xf>
    <xf numFmtId="0" fontId="1" fillId="0" borderId="131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13" fillId="0" borderId="155" xfId="0" applyNumberFormat="1" applyFont="1" applyBorder="1" applyAlignment="1" applyProtection="1">
      <alignment horizontal="left" vertical="center" wrapText="1"/>
      <protection/>
    </xf>
    <xf numFmtId="0" fontId="2" fillId="0" borderId="156" xfId="0" applyFont="1" applyFill="1" applyBorder="1" applyAlignment="1" applyProtection="1">
      <alignment horizontal="center" vertical="center"/>
      <protection/>
    </xf>
    <xf numFmtId="170" fontId="2" fillId="4" borderId="157" xfId="0" applyNumberFormat="1" applyFont="1" applyFill="1" applyBorder="1" applyAlignment="1" applyProtection="1">
      <alignment horizontal="right" vertical="center"/>
      <protection/>
    </xf>
    <xf numFmtId="170" fontId="2" fillId="4" borderId="148" xfId="0" applyNumberFormat="1" applyFont="1" applyFill="1" applyBorder="1" applyAlignment="1" applyProtection="1">
      <alignment horizontal="right" vertical="center"/>
      <protection/>
    </xf>
    <xf numFmtId="170" fontId="2" fillId="3" borderId="155" xfId="0" applyNumberFormat="1" applyFont="1" applyFill="1" applyBorder="1" applyAlignment="1" applyProtection="1">
      <alignment horizontal="right" vertical="center"/>
      <protection/>
    </xf>
    <xf numFmtId="170" fontId="2" fillId="3" borderId="97" xfId="0" applyNumberFormat="1" applyFont="1" applyFill="1" applyBorder="1" applyAlignment="1" applyProtection="1">
      <alignment horizontal="right" vertical="center"/>
      <protection/>
    </xf>
    <xf numFmtId="170" fontId="2" fillId="3" borderId="158" xfId="0" applyNumberFormat="1" applyFont="1" applyFill="1" applyBorder="1" applyAlignment="1" applyProtection="1">
      <alignment horizontal="right" vertical="center"/>
      <protection/>
    </xf>
    <xf numFmtId="170" fontId="2" fillId="3" borderId="98" xfId="0" applyNumberFormat="1" applyFont="1" applyFill="1" applyBorder="1" applyAlignment="1" applyProtection="1">
      <alignment horizontal="right" vertical="center"/>
      <protection/>
    </xf>
    <xf numFmtId="49" fontId="1" fillId="7" borderId="159" xfId="0" applyNumberFormat="1" applyFont="1" applyFill="1" applyBorder="1" applyAlignment="1" applyProtection="1">
      <alignment horizontal="center" vertical="center"/>
      <protection/>
    </xf>
    <xf numFmtId="0" fontId="13" fillId="7" borderId="160" xfId="0" applyNumberFormat="1" applyFont="1" applyFill="1" applyBorder="1" applyAlignment="1" applyProtection="1">
      <alignment horizontal="left" vertical="center" wrapText="1"/>
      <protection/>
    </xf>
    <xf numFmtId="0" fontId="1" fillId="7" borderId="160" xfId="0" applyFont="1" applyFill="1" applyBorder="1" applyAlignment="1" applyProtection="1">
      <alignment horizontal="center" vertical="center"/>
      <protection/>
    </xf>
    <xf numFmtId="0" fontId="2" fillId="7" borderId="161" xfId="0" applyNumberFormat="1" applyFont="1" applyFill="1" applyBorder="1" applyAlignment="1" applyProtection="1">
      <alignment horizontal="right" vertical="center"/>
      <protection/>
    </xf>
    <xf numFmtId="0" fontId="2" fillId="7" borderId="160" xfId="0" applyNumberFormat="1" applyFont="1" applyFill="1" applyBorder="1" applyAlignment="1" applyProtection="1">
      <alignment horizontal="right" vertical="center"/>
      <protection/>
    </xf>
    <xf numFmtId="0" fontId="2" fillId="7" borderId="162" xfId="0" applyNumberFormat="1" applyFont="1" applyFill="1" applyBorder="1" applyAlignment="1" applyProtection="1">
      <alignment horizontal="right" vertical="center"/>
      <protection/>
    </xf>
    <xf numFmtId="49" fontId="1" fillId="4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Fill="1" applyBorder="1" applyAlignment="1" applyProtection="1">
      <alignment vertical="center" wrapText="1"/>
      <protection/>
    </xf>
    <xf numFmtId="0" fontId="1" fillId="0" borderId="17" xfId="0" applyFont="1" applyBorder="1" applyAlignment="1" applyProtection="1">
      <alignment horizontal="center" vertical="center"/>
      <protection/>
    </xf>
    <xf numFmtId="170" fontId="1" fillId="4" borderId="16" xfId="0" applyNumberFormat="1" applyFont="1" applyFill="1" applyBorder="1" applyAlignment="1" applyProtection="1">
      <alignment horizontal="right" vertical="center"/>
      <protection/>
    </xf>
    <xf numFmtId="0" fontId="13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166" fontId="2" fillId="4" borderId="16" xfId="0" applyNumberFormat="1" applyFont="1" applyFill="1" applyBorder="1" applyAlignment="1" applyProtection="1">
      <alignment horizontal="right" vertical="center"/>
      <protection/>
    </xf>
    <xf numFmtId="166" fontId="2" fillId="4" borderId="2" xfId="0" applyNumberFormat="1" applyFont="1" applyFill="1" applyBorder="1" applyAlignment="1" applyProtection="1">
      <alignment horizontal="right" vertical="center"/>
      <protection/>
    </xf>
    <xf numFmtId="166" fontId="2" fillId="3" borderId="2" xfId="0" applyNumberFormat="1" applyFont="1" applyFill="1" applyBorder="1" applyAlignment="1" applyProtection="1">
      <alignment horizontal="right" vertical="center"/>
      <protection/>
    </xf>
    <xf numFmtId="166" fontId="2" fillId="3" borderId="46" xfId="0" applyNumberFormat="1" applyFont="1" applyFill="1" applyBorder="1" applyAlignment="1" applyProtection="1">
      <alignment horizontal="right" vertical="center"/>
      <protection/>
    </xf>
    <xf numFmtId="49" fontId="1" fillId="4" borderId="20" xfId="0" applyNumberFormat="1" applyFont="1" applyFill="1" applyBorder="1" applyAlignment="1" applyProtection="1">
      <alignment horizontal="center" vertical="center"/>
      <protection/>
    </xf>
    <xf numFmtId="0" fontId="13" fillId="0" borderId="20" xfId="0" applyNumberFormat="1" applyFont="1" applyFill="1" applyBorder="1" applyAlignment="1" applyProtection="1">
      <alignment horizontal="left" vertical="center" wrapText="1"/>
      <protection/>
    </xf>
    <xf numFmtId="4" fontId="2" fillId="4" borderId="50" xfId="0" applyNumberFormat="1" applyFont="1" applyFill="1" applyBorder="1" applyAlignment="1" applyProtection="1">
      <alignment horizontal="right" vertical="center"/>
      <protection/>
    </xf>
    <xf numFmtId="4" fontId="2" fillId="4" borderId="20" xfId="0" applyNumberFormat="1" applyFont="1" applyFill="1" applyBorder="1" applyAlignment="1" applyProtection="1">
      <alignment horizontal="right" vertical="center"/>
      <protection/>
    </xf>
    <xf numFmtId="4" fontId="1" fillId="3" borderId="20" xfId="0" applyNumberFormat="1" applyFont="1" applyFill="1" applyBorder="1" applyAlignment="1" applyProtection="1">
      <alignment horizontal="right" vertical="center"/>
      <protection/>
    </xf>
    <xf numFmtId="4" fontId="1" fillId="3" borderId="75" xfId="0" applyNumberFormat="1" applyFont="1" applyFill="1" applyBorder="1" applyAlignment="1" applyProtection="1">
      <alignment horizontal="right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1" fillId="4" borderId="113" xfId="0" applyNumberFormat="1" applyFont="1" applyFill="1" applyBorder="1" applyAlignment="1" applyProtection="1">
      <alignment horizontal="center" vertical="center"/>
      <protection/>
    </xf>
    <xf numFmtId="0" fontId="2" fillId="0" borderId="114" xfId="0" applyFont="1" applyBorder="1" applyAlignment="1" applyProtection="1">
      <alignment/>
      <protection/>
    </xf>
    <xf numFmtId="0" fontId="2" fillId="0" borderId="117" xfId="0" applyFont="1" applyBorder="1" applyAlignment="1" applyProtection="1">
      <alignment horizontal="center"/>
      <protection/>
    </xf>
    <xf numFmtId="4" fontId="2" fillId="3" borderId="163" xfId="0" applyNumberFormat="1" applyFont="1" applyFill="1" applyBorder="1" applyAlignment="1" applyProtection="1">
      <alignment vertical="center"/>
      <protection/>
    </xf>
    <xf numFmtId="4" fontId="2" fillId="3" borderId="164" xfId="0" applyNumberFormat="1" applyFont="1" applyFill="1" applyBorder="1" applyAlignment="1" applyProtection="1">
      <alignment vertical="center"/>
      <protection/>
    </xf>
    <xf numFmtId="4" fontId="2" fillId="3" borderId="114" xfId="0" applyNumberFormat="1" applyFont="1" applyFill="1" applyBorder="1" applyAlignment="1" applyProtection="1">
      <alignment vertical="center"/>
      <protection/>
    </xf>
    <xf numFmtId="4" fontId="2" fillId="3" borderId="117" xfId="0" applyNumberFormat="1" applyFont="1" applyFill="1" applyBorder="1" applyAlignment="1" applyProtection="1">
      <alignment vertical="center"/>
      <protection/>
    </xf>
    <xf numFmtId="0" fontId="1" fillId="4" borderId="65" xfId="0" applyNumberFormat="1" applyFont="1" applyFill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/>
      <protection/>
    </xf>
    <xf numFmtId="4" fontId="2" fillId="3" borderId="145" xfId="0" applyNumberFormat="1" applyFont="1" applyFill="1" applyBorder="1" applyAlignment="1" applyProtection="1">
      <alignment horizontal="right" vertical="center"/>
      <protection/>
    </xf>
    <xf numFmtId="4" fontId="2" fillId="3" borderId="65" xfId="0" applyNumberFormat="1" applyFont="1" applyFill="1" applyBorder="1" applyAlignment="1" applyProtection="1">
      <alignment horizontal="right" vertical="center"/>
      <protection/>
    </xf>
    <xf numFmtId="4" fontId="2" fillId="3" borderId="2" xfId="0" applyNumberFormat="1" applyFont="1" applyFill="1" applyBorder="1" applyAlignment="1" applyProtection="1">
      <alignment horizontal="right" vertical="center"/>
      <protection/>
    </xf>
    <xf numFmtId="4" fontId="2" fillId="3" borderId="46" xfId="0" applyNumberFormat="1" applyFont="1" applyFill="1" applyBorder="1" applyAlignment="1" applyProtection="1">
      <alignment horizontal="right" vertical="center"/>
      <protection/>
    </xf>
    <xf numFmtId="4" fontId="2" fillId="3" borderId="83" xfId="0" applyNumberFormat="1" applyFont="1" applyFill="1" applyBorder="1" applyAlignment="1" applyProtection="1">
      <alignment horizontal="right" vertical="center"/>
      <protection/>
    </xf>
    <xf numFmtId="4" fontId="2" fillId="3" borderId="124" xfId="0" applyNumberFormat="1" applyFont="1" applyFill="1" applyBorder="1" applyAlignment="1" applyProtection="1">
      <alignment horizontal="right" vertical="center"/>
      <protection/>
    </xf>
    <xf numFmtId="0" fontId="1" fillId="4" borderId="67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/>
      <protection/>
    </xf>
    <xf numFmtId="0" fontId="2" fillId="0" borderId="94" xfId="0" applyFont="1" applyBorder="1" applyAlignment="1" applyProtection="1">
      <alignment horizontal="center"/>
      <protection/>
    </xf>
    <xf numFmtId="166" fontId="2" fillId="0" borderId="93" xfId="0" applyNumberFormat="1" applyFont="1" applyFill="1" applyBorder="1" applyAlignment="1" applyProtection="1">
      <alignment horizontal="center" vertical="center"/>
      <protection/>
    </xf>
    <xf numFmtId="166" fontId="2" fillId="0" borderId="125" xfId="0" applyNumberFormat="1" applyFont="1" applyFill="1" applyBorder="1" applyAlignment="1" applyProtection="1">
      <alignment horizontal="center" vertical="center"/>
      <protection/>
    </xf>
    <xf numFmtId="166" fontId="2" fillId="2" borderId="19" xfId="0" applyNumberFormat="1" applyFont="1" applyFill="1" applyBorder="1" applyAlignment="1" applyProtection="1">
      <alignment horizontal="right" vertical="center"/>
      <protection locked="0"/>
    </xf>
    <xf numFmtId="166" fontId="2" fillId="3" borderId="19" xfId="0" applyNumberFormat="1" applyFont="1" applyFill="1" applyBorder="1" applyAlignment="1" applyProtection="1">
      <alignment horizontal="right" vertical="center"/>
      <protection/>
    </xf>
    <xf numFmtId="166" fontId="2" fillId="3" borderId="94" xfId="0" applyNumberFormat="1" applyFont="1" applyFill="1" applyBorder="1" applyAlignment="1" applyProtection="1">
      <alignment horizontal="right" vertical="center"/>
      <protection/>
    </xf>
    <xf numFmtId="4" fontId="2" fillId="2" borderId="2" xfId="22" applyNumberFormat="1" applyFont="1" applyFill="1" applyBorder="1" applyAlignment="1" applyProtection="1">
      <alignment horizontal="right" vertical="center"/>
      <protection locked="0"/>
    </xf>
    <xf numFmtId="0" fontId="10" fillId="5" borderId="0" xfId="23" applyFont="1" applyFill="1" applyBorder="1" applyAlignment="1" applyProtection="1">
      <alignment horizontal="center" vertical="center" wrapText="1"/>
      <protection locked="0"/>
    </xf>
    <xf numFmtId="0" fontId="10" fillId="5" borderId="0" xfId="23" applyFont="1" applyFill="1" applyBorder="1" applyAlignment="1" applyProtection="1">
      <alignment horizontal="center" vertical="center" wrapText="1"/>
      <protection/>
    </xf>
    <xf numFmtId="49" fontId="11" fillId="0" borderId="165" xfId="19" applyNumberFormat="1" applyFont="1" applyBorder="1" applyAlignment="1" applyProtection="1">
      <alignment horizontal="center" vertical="center" wrapText="1"/>
      <protection/>
    </xf>
    <xf numFmtId="49" fontId="11" fillId="0" borderId="166" xfId="19" applyNumberFormat="1" applyFont="1" applyBorder="1" applyAlignment="1" applyProtection="1">
      <alignment horizontal="center" vertical="center" wrapText="1"/>
      <protection/>
    </xf>
    <xf numFmtId="0" fontId="1" fillId="0" borderId="8" xfId="22" applyFont="1" applyBorder="1" applyAlignment="1" applyProtection="1">
      <alignment horizontal="center" vertical="center" wrapText="1"/>
      <protection/>
    </xf>
    <xf numFmtId="0" fontId="1" fillId="0" borderId="6" xfId="22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167" xfId="0" applyFont="1" applyFill="1" applyBorder="1" applyAlignment="1" applyProtection="1">
      <alignment horizontal="center" vertical="center" wrapText="1"/>
      <protection/>
    </xf>
    <xf numFmtId="0" fontId="1" fillId="0" borderId="127" xfId="0" applyFont="1" applyFill="1" applyBorder="1" applyAlignment="1" applyProtection="1">
      <alignment horizontal="center" vertical="center" wrapText="1"/>
      <protection/>
    </xf>
    <xf numFmtId="0" fontId="1" fillId="0" borderId="122" xfId="0" applyFont="1" applyFill="1" applyBorder="1" applyAlignment="1" applyProtection="1">
      <alignment horizontal="center" vertical="center" wrapText="1"/>
      <protection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168" xfId="0" applyFont="1" applyFill="1" applyBorder="1" applyAlignment="1" applyProtection="1">
      <alignment horizontal="center" vertical="center" wrapText="1"/>
      <protection/>
    </xf>
    <xf numFmtId="0" fontId="1" fillId="0" borderId="169" xfId="0" applyFont="1" applyFill="1" applyBorder="1" applyAlignment="1" applyProtection="1">
      <alignment horizontal="center" vertical="center" wrapText="1"/>
      <protection/>
    </xf>
    <xf numFmtId="0" fontId="13" fillId="5" borderId="170" xfId="22" applyFont="1" applyFill="1" applyBorder="1" applyAlignment="1" applyProtection="1">
      <alignment horizontal="left" vertical="center" wrapText="1" indent="2"/>
      <protection/>
    </xf>
    <xf numFmtId="0" fontId="13" fillId="5" borderId="171" xfId="22" applyFont="1" applyFill="1" applyBorder="1" applyAlignment="1" applyProtection="1">
      <alignment horizontal="left" vertical="center" wrapText="1" indent="2"/>
      <protection/>
    </xf>
    <xf numFmtId="0" fontId="6" fillId="5" borderId="38" xfId="22" applyFont="1" applyFill="1" applyBorder="1" applyAlignment="1" applyProtection="1">
      <alignment horizontal="left" vertical="center" indent="2"/>
      <protection/>
    </xf>
    <xf numFmtId="0" fontId="6" fillId="5" borderId="14" xfId="22" applyFont="1" applyFill="1" applyBorder="1" applyAlignment="1" applyProtection="1">
      <alignment horizontal="left" vertical="center" indent="2"/>
      <protection/>
    </xf>
    <xf numFmtId="0" fontId="14" fillId="5" borderId="62" xfId="22" applyFont="1" applyFill="1" applyBorder="1" applyAlignment="1" applyProtection="1">
      <alignment horizontal="left" vertical="center" indent="2"/>
      <protection/>
    </xf>
    <xf numFmtId="0" fontId="14" fillId="5" borderId="23" xfId="22" applyFont="1" applyFill="1" applyBorder="1" applyAlignment="1" applyProtection="1">
      <alignment horizontal="left" vertical="center" indent="2"/>
      <protection/>
    </xf>
    <xf numFmtId="0" fontId="2" fillId="0" borderId="172" xfId="0" applyFont="1" applyFill="1" applyBorder="1" applyAlignment="1" applyProtection="1">
      <alignment horizontal="center" vertical="center" wrapText="1"/>
      <protection/>
    </xf>
    <xf numFmtId="0" fontId="1" fillId="0" borderId="173" xfId="0" applyFont="1" applyFill="1" applyBorder="1" applyAlignment="1" applyProtection="1">
      <alignment horizontal="center" vertical="center" wrapText="1"/>
      <protection/>
    </xf>
    <xf numFmtId="0" fontId="1" fillId="0" borderId="148" xfId="0" applyFont="1" applyFill="1" applyBorder="1" applyAlignment="1" applyProtection="1">
      <alignment horizontal="center" vertical="center" wrapText="1"/>
      <protection/>
    </xf>
    <xf numFmtId="0" fontId="1" fillId="0" borderId="17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4" fontId="1" fillId="3" borderId="175" xfId="30" applyNumberFormat="1" applyFont="1" applyFill="1" applyBorder="1" applyAlignment="1" applyProtection="1">
      <alignment horizontal="center" vertical="center"/>
      <protection/>
    </xf>
    <xf numFmtId="4" fontId="1" fillId="3" borderId="172" xfId="30" applyNumberFormat="1" applyFont="1" applyFill="1" applyBorder="1" applyAlignment="1" applyProtection="1">
      <alignment horizontal="center" vertical="center"/>
      <protection/>
    </xf>
    <xf numFmtId="4" fontId="1" fillId="3" borderId="28" xfId="30" applyNumberFormat="1" applyFont="1" applyFill="1" applyBorder="1" applyAlignment="1" applyProtection="1">
      <alignment horizontal="center" vertical="center"/>
      <protection/>
    </xf>
    <xf numFmtId="0" fontId="13" fillId="5" borderId="62" xfId="22" applyFont="1" applyFill="1" applyBorder="1" applyAlignment="1" applyProtection="1">
      <alignment horizontal="left" vertical="center" indent="2"/>
      <protection/>
    </xf>
    <xf numFmtId="0" fontId="13" fillId="5" borderId="23" xfId="22" applyFont="1" applyFill="1" applyBorder="1" applyAlignment="1" applyProtection="1">
      <alignment horizontal="left" vertical="center" indent="2"/>
      <protection/>
    </xf>
    <xf numFmtId="4" fontId="1" fillId="3" borderId="176" xfId="30" applyNumberFormat="1" applyFont="1" applyFill="1" applyBorder="1" applyAlignment="1" applyProtection="1">
      <alignment horizontal="center" vertical="center"/>
      <protection/>
    </xf>
    <xf numFmtId="4" fontId="1" fillId="3" borderId="6" xfId="30" applyNumberFormat="1" applyFont="1" applyFill="1" applyBorder="1" applyAlignment="1" applyProtection="1">
      <alignment horizontal="center" vertical="center"/>
      <protection/>
    </xf>
    <xf numFmtId="4" fontId="1" fillId="3" borderId="15" xfId="30" applyNumberFormat="1" applyFont="1" applyFill="1" applyBorder="1" applyAlignment="1" applyProtection="1">
      <alignment horizontal="center" vertical="center"/>
      <protection/>
    </xf>
    <xf numFmtId="0" fontId="1" fillId="0" borderId="16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6" fillId="8" borderId="61" xfId="0" applyNumberFormat="1" applyFont="1" applyFill="1" applyBorder="1" applyAlignment="1" applyProtection="1">
      <alignment horizontal="left" vertical="center"/>
      <protection/>
    </xf>
    <xf numFmtId="0" fontId="6" fillId="8" borderId="23" xfId="0" applyNumberFormat="1" applyFont="1" applyFill="1" applyBorder="1" applyAlignment="1" applyProtection="1">
      <alignment horizontal="left" vertical="center"/>
      <protection/>
    </xf>
    <xf numFmtId="0" fontId="2" fillId="5" borderId="61" xfId="0" applyNumberFormat="1" applyFont="1" applyFill="1" applyBorder="1" applyAlignment="1" applyProtection="1">
      <alignment horizontal="left" vertical="center" wrapText="1"/>
      <protection/>
    </xf>
    <xf numFmtId="0" fontId="2" fillId="5" borderId="23" xfId="0" applyNumberFormat="1" applyFont="1" applyFill="1" applyBorder="1" applyAlignment="1" applyProtection="1">
      <alignment horizontal="left" vertical="center" wrapText="1"/>
      <protection/>
    </xf>
    <xf numFmtId="0" fontId="2" fillId="5" borderId="37" xfId="0" applyNumberFormat="1" applyFont="1" applyFill="1" applyBorder="1" applyAlignment="1" applyProtection="1">
      <alignment horizontal="left" vertical="center" wrapText="1"/>
      <protection/>
    </xf>
    <xf numFmtId="0" fontId="2" fillId="5" borderId="32" xfId="0" applyNumberFormat="1" applyFont="1" applyFill="1" applyBorder="1" applyAlignment="1" applyProtection="1">
      <alignment horizontal="center" vertical="center" wrapText="1"/>
      <protection/>
    </xf>
    <xf numFmtId="0" fontId="2" fillId="5" borderId="33" xfId="0" applyNumberFormat="1" applyFont="1" applyFill="1" applyBorder="1" applyAlignment="1" applyProtection="1">
      <alignment horizontal="center" vertical="center" wrapText="1"/>
      <protection/>
    </xf>
    <xf numFmtId="0" fontId="2" fillId="5" borderId="34" xfId="0" applyNumberFormat="1" applyFont="1" applyFill="1" applyBorder="1" applyAlignment="1" applyProtection="1">
      <alignment horizontal="center" vertical="center" wrapText="1"/>
      <protection/>
    </xf>
    <xf numFmtId="0" fontId="2" fillId="5" borderId="23" xfId="0" applyNumberFormat="1" applyFont="1" applyFill="1" applyBorder="1" applyAlignment="1" applyProtection="1">
      <alignment horizontal="left" vertical="center"/>
      <protection/>
    </xf>
    <xf numFmtId="0" fontId="2" fillId="5" borderId="37" xfId="0" applyNumberFormat="1" applyFont="1" applyFill="1" applyBorder="1" applyAlignment="1" applyProtection="1">
      <alignment horizontal="left" vertical="center"/>
      <protection/>
    </xf>
    <xf numFmtId="49" fontId="2" fillId="4" borderId="177" xfId="0" applyNumberFormat="1" applyFont="1" applyFill="1" applyBorder="1" applyAlignment="1" applyProtection="1">
      <alignment horizontal="center" vertical="center"/>
      <protection/>
    </xf>
    <xf numFmtId="0" fontId="2" fillId="4" borderId="178" xfId="0" applyNumberFormat="1" applyFont="1" applyFill="1" applyBorder="1" applyAlignment="1" applyProtection="1">
      <alignment horizontal="center" vertical="center"/>
      <protection/>
    </xf>
    <xf numFmtId="0" fontId="2" fillId="4" borderId="179" xfId="0" applyNumberFormat="1" applyFont="1" applyFill="1" applyBorder="1" applyAlignment="1" applyProtection="1">
      <alignment horizontal="center" vertical="center"/>
      <protection/>
    </xf>
    <xf numFmtId="0" fontId="2" fillId="5" borderId="61" xfId="0" applyFont="1" applyFill="1" applyBorder="1" applyAlignment="1" applyProtection="1">
      <alignment/>
      <protection/>
    </xf>
    <xf numFmtId="0" fontId="2" fillId="5" borderId="23" xfId="0" applyFont="1" applyFill="1" applyBorder="1" applyAlignment="1" applyProtection="1">
      <alignment/>
      <protection/>
    </xf>
    <xf numFmtId="49" fontId="2" fillId="0" borderId="180" xfId="0" applyNumberFormat="1" applyFont="1" applyBorder="1" applyAlignment="1" applyProtection="1">
      <alignment horizontal="center" vertical="center" wrapText="1"/>
      <protection/>
    </xf>
    <xf numFmtId="0" fontId="2" fillId="0" borderId="70" xfId="0" applyNumberFormat="1" applyFont="1" applyBorder="1" applyAlignment="1" applyProtection="1">
      <alignment horizontal="center" vertical="center" wrapText="1"/>
      <protection/>
    </xf>
    <xf numFmtId="0" fontId="2" fillId="0" borderId="181" xfId="0" applyNumberFormat="1" applyFont="1" applyBorder="1" applyAlignment="1" applyProtection="1">
      <alignment horizontal="center" vertical="center" wrapText="1"/>
      <protection/>
    </xf>
    <xf numFmtId="0" fontId="2" fillId="8" borderId="26" xfId="0" applyFont="1" applyFill="1" applyBorder="1" applyAlignment="1" applyProtection="1">
      <alignment vertical="center"/>
      <protection/>
    </xf>
    <xf numFmtId="0" fontId="2" fillId="8" borderId="27" xfId="0" applyFont="1" applyFill="1" applyBorder="1" applyAlignment="1" applyProtection="1">
      <alignment vertical="center"/>
      <protection/>
    </xf>
    <xf numFmtId="0" fontId="2" fillId="8" borderId="154" xfId="0" applyFont="1" applyFill="1" applyBorder="1" applyAlignment="1" applyProtection="1">
      <alignment vertical="center"/>
      <protection/>
    </xf>
    <xf numFmtId="0" fontId="20" fillId="0" borderId="182" xfId="0" applyNumberFormat="1" applyFont="1" applyFill="1" applyBorder="1" applyAlignment="1" applyProtection="1">
      <alignment horizontal="center" vertical="center"/>
      <protection/>
    </xf>
    <xf numFmtId="0" fontId="20" fillId="0" borderId="139" xfId="0" applyNumberFormat="1" applyFont="1" applyFill="1" applyBorder="1" applyAlignment="1" applyProtection="1">
      <alignment horizontal="center" vertical="center"/>
      <protection/>
    </xf>
    <xf numFmtId="0" fontId="20" fillId="0" borderId="183" xfId="0" applyNumberFormat="1" applyFont="1" applyFill="1" applyBorder="1" applyAlignment="1" applyProtection="1">
      <alignment horizontal="center" vertical="center"/>
      <protection/>
    </xf>
  </cellXfs>
  <cellStyles count="19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Значение" xfId="20"/>
    <cellStyle name="Обычный 2_НВВ - сети долгосрочный (15.07) - передано на оформление" xfId="21"/>
    <cellStyle name="Обычный 2_НВВ - сети долгосрочный (15.07) - передано на оформление 2" xfId="22"/>
    <cellStyle name="Обычный_ЖКУ_проект3" xfId="23"/>
    <cellStyle name="Обычный_НВВ 2009 постатейно свод по филиалам_09_02_09" xfId="24"/>
    <cellStyle name="Followed Hyperlink" xfId="25"/>
    <cellStyle name="Percent" xfId="26"/>
    <cellStyle name="Процентный 5" xfId="27"/>
    <cellStyle name="Comma" xfId="28"/>
    <cellStyle name="Comma [0]" xfId="29"/>
    <cellStyle name="Формула_GRES.2007.5" xfId="30"/>
    <cellStyle name="Формула_НВВ - сети долгосрочный (15.07) - передано на оформление" xfId="31"/>
    <cellStyle name="ФормулаНаКонтроль_GRES.2007.5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bk2000\shared\Documents%20and%20Settings\Grigoreva\&#1056;&#1072;&#1073;&#1086;&#1095;&#1080;&#1081;%20&#1089;&#1090;&#1086;&#1083;\PREDEL.PEREDACHA.NOV2012(v1.3)&#1089;&#1072;&#1084;&#1099;&#1081;%20&#1089;&#1072;&#1084;&#1099;&#1081;%20&#1087;&#1086;&#1089;&#1083;&#1077;&#1076;&#1085;&#1080;&#1081;%2016%20&#1086;&#1082;&#1090;&#1103;&#1073;&#1088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Выбор субъекта РФ"/>
      <sheetName val="Обновление"/>
      <sheetName val="Лог обновления"/>
      <sheetName val="Титульный"/>
      <sheetName val="Справочники"/>
      <sheetName val="P2.1 У.Е. 2011"/>
      <sheetName val="P2.2 У.Е. 2011"/>
      <sheetName val="P2.1 У.Е. 2012"/>
      <sheetName val="P2.2 У.Е. 2012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НВВ РСК 2011"/>
      <sheetName val="НВВ РСК 2012 (I полугодие)"/>
      <sheetName val="НВВ РСК 2012 (II пол) ИНД"/>
      <sheetName val="НВВ РСК 2012 (II пол) RAB"/>
      <sheetName val="НВВ РСК 2012 ИНД"/>
      <sheetName val="НВВ РСК 2012 RAB"/>
      <sheetName val="НВВ РСК 2013-2017"/>
      <sheetName val="Расчет котловых тарифов"/>
      <sheetName val="Расчет НВ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7)"/>
      <sheetName val="Расчет НВВ по RAB (2012-2017)"/>
      <sheetName val="Расчет расх. по RAB (2013-2017)"/>
      <sheetName val="Расчет НВВ по RAB (2013-2017)"/>
      <sheetName val="Расчет НВВ РСК - индексация"/>
      <sheetName val="Комментарии"/>
      <sheetName val="Проверка"/>
      <sheetName val="et_union_hor"/>
      <sheetName val="et_union_ver"/>
      <sheetName val="modHyp"/>
      <sheetName val="TEHSHEET"/>
      <sheetName val="modUpdTemplMain"/>
      <sheetName val="AllSheetsInThisWorkbook"/>
      <sheetName val="REESTR_ORG"/>
      <sheetName val="REESTR_FILTERED"/>
      <sheetName val="modfrmReestr"/>
      <sheetName val="modCommandButton"/>
      <sheetName val="modList00"/>
      <sheetName val="modList08"/>
    </sheetNames>
    <sheetDataSet>
      <sheetData sheetId="7">
        <row r="18">
          <cell r="G18" t="str">
            <v>ОАО "Городские электрические сети" г.Нижневартовск</v>
          </cell>
          <cell r="L18" t="str">
            <v>RAB</v>
          </cell>
        </row>
      </sheetData>
      <sheetData sheetId="31">
        <row r="39">
          <cell r="I39">
            <v>146497.06494754815</v>
          </cell>
          <cell r="J39">
            <v>146497.06494754815</v>
          </cell>
          <cell r="K39">
            <v>292994.1298950963</v>
          </cell>
          <cell r="L39">
            <v>310813.87809050037</v>
          </cell>
          <cell r="M39">
            <v>327227.50496076763</v>
          </cell>
          <cell r="N39">
            <v>342308.56614604295</v>
          </cell>
          <cell r="O39">
            <v>358090.0525686693</v>
          </cell>
          <cell r="P39">
            <v>372109.72783382516</v>
          </cell>
        </row>
        <row r="53">
          <cell r="I53">
            <v>40433.582450906055</v>
          </cell>
          <cell r="J53">
            <v>40603.548082956506</v>
          </cell>
          <cell r="K53">
            <v>81037.13053386257</v>
          </cell>
          <cell r="L53">
            <v>116957.82009891918</v>
          </cell>
          <cell r="M53">
            <v>146373.0363755178</v>
          </cell>
          <cell r="N53">
            <v>163014.9200469765</v>
          </cell>
          <cell r="O53">
            <v>181183.39001838505</v>
          </cell>
          <cell r="P53">
            <v>200948.38442798064</v>
          </cell>
        </row>
        <row r="65">
          <cell r="H65">
            <v>557593.2626344</v>
          </cell>
        </row>
        <row r="69">
          <cell r="H69">
            <v>170171.186440678</v>
          </cell>
        </row>
        <row r="78">
          <cell r="K78">
            <v>34463.03379999997</v>
          </cell>
          <cell r="L78">
            <v>36496.352794199964</v>
          </cell>
          <cell r="M78">
            <v>38394.16313949836</v>
          </cell>
          <cell r="N78">
            <v>40390.65962275228</v>
          </cell>
          <cell r="O78">
            <v>42490.9739231354</v>
          </cell>
          <cell r="P78">
            <v>44700.50456713844</v>
          </cell>
        </row>
        <row r="79">
          <cell r="K79">
            <v>0.061806761504212285</v>
          </cell>
          <cell r="L79">
            <v>0.06161175300050523</v>
          </cell>
          <cell r="M79">
            <v>0.04874656962360196</v>
          </cell>
          <cell r="N79">
            <v>0.04459405020061174</v>
          </cell>
          <cell r="O79">
            <v>0.04227944983560786</v>
          </cell>
          <cell r="P79">
            <v>0.04008629177929869</v>
          </cell>
        </row>
        <row r="86">
          <cell r="H86">
            <v>0.05222646590324109</v>
          </cell>
        </row>
        <row r="90">
          <cell r="K90">
            <v>4862.033898305085</v>
          </cell>
          <cell r="L90">
            <v>4862.033898305085</v>
          </cell>
          <cell r="M90">
            <v>4862.033898305085</v>
          </cell>
          <cell r="N90">
            <v>4862.033898305085</v>
          </cell>
          <cell r="O90">
            <v>4862.033898305085</v>
          </cell>
          <cell r="P90">
            <v>4862.033898305085</v>
          </cell>
        </row>
        <row r="91">
          <cell r="K91">
            <v>91273.06942857143</v>
          </cell>
        </row>
        <row r="95">
          <cell r="I95">
            <v>445.89</v>
          </cell>
          <cell r="J95">
            <v>428.5828434504793</v>
          </cell>
          <cell r="K95">
            <v>874.4728434504793</v>
          </cell>
          <cell r="L95">
            <v>890.9965332618025</v>
          </cell>
          <cell r="M95">
            <v>894.1912297678723</v>
          </cell>
          <cell r="N95">
            <v>905.7262966318776</v>
          </cell>
          <cell r="O95">
            <v>916.2327216728074</v>
          </cell>
          <cell r="P95">
            <v>926.3112816112084</v>
          </cell>
        </row>
        <row r="97">
          <cell r="I97">
            <v>41.869071</v>
          </cell>
          <cell r="J97">
            <v>40.243929</v>
          </cell>
          <cell r="K97">
            <v>82.113</v>
          </cell>
          <cell r="L97">
            <v>82.8279287285504</v>
          </cell>
          <cell r="M97">
            <v>82.87553617771982</v>
          </cell>
          <cell r="N97">
            <v>83.69279670262915</v>
          </cell>
          <cell r="O97">
            <v>84.40964224494651</v>
          </cell>
          <cell r="P97">
            <v>85.08213386471202</v>
          </cell>
        </row>
      </sheetData>
      <sheetData sheetId="32">
        <row r="8">
          <cell r="I8">
            <v>592360.2399999994</v>
          </cell>
          <cell r="J8">
            <v>787628</v>
          </cell>
          <cell r="K8">
            <v>905741.0000000001</v>
          </cell>
          <cell r="L8">
            <v>1005003</v>
          </cell>
          <cell r="M8">
            <v>1115107.0000000005</v>
          </cell>
        </row>
        <row r="18">
          <cell r="I18">
            <v>62400.44282475156</v>
          </cell>
          <cell r="J18">
            <v>-59592.1037610674</v>
          </cell>
          <cell r="K18">
            <v>-57683.55125303413</v>
          </cell>
          <cell r="L18">
            <v>-26529.2212232393</v>
          </cell>
          <cell r="M18">
            <v>5159.188494656622</v>
          </cell>
          <cell r="N18">
            <v>39681.06520574508</v>
          </cell>
        </row>
        <row r="44">
          <cell r="I44">
            <v>0.12</v>
          </cell>
          <cell r="J44">
            <v>0.11</v>
          </cell>
          <cell r="K44">
            <v>0.11</v>
          </cell>
          <cell r="L44">
            <v>0.11</v>
          </cell>
          <cell r="M44">
            <v>0.11</v>
          </cell>
        </row>
        <row r="59">
          <cell r="G59">
            <v>67320.07687678543</v>
          </cell>
          <cell r="H59">
            <v>67320.07687678543</v>
          </cell>
          <cell r="I59">
            <v>134640.15375357086</v>
          </cell>
          <cell r="J59">
            <v>144046.8089119484</v>
          </cell>
          <cell r="K59">
            <v>157224.21932236996</v>
          </cell>
          <cell r="L59">
            <v>172914.87971452303</v>
          </cell>
          <cell r="M59">
            <v>191581.91485436927</v>
          </cell>
          <cell r="N59">
            <v>213705.03106688426</v>
          </cell>
        </row>
        <row r="64">
          <cell r="G64">
            <v>4025.0164451854466</v>
          </cell>
          <cell r="H64">
            <v>4025.0164451854466</v>
          </cell>
          <cell r="I64">
            <v>8050.032890370894</v>
          </cell>
          <cell r="J64">
            <v>39396.83869737858</v>
          </cell>
          <cell r="K64">
            <v>53162.10276270803</v>
          </cell>
          <cell r="L64">
            <v>65178.713549951455</v>
          </cell>
          <cell r="M64">
            <v>78473.50229996894</v>
          </cell>
          <cell r="N64">
            <v>93822.6853214501</v>
          </cell>
        </row>
        <row r="69">
          <cell r="I69">
            <v>18880.633352907975</v>
          </cell>
          <cell r="J69">
            <v>19715.96156768417</v>
          </cell>
          <cell r="K69">
            <v>20588.246870358784</v>
          </cell>
          <cell r="L69">
            <v>21437.931384879208</v>
          </cell>
          <cell r="M69">
            <v>22322.68269157295</v>
          </cell>
          <cell r="N69">
            <v>23089.13579664416</v>
          </cell>
        </row>
        <row r="70"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84">
          <cell r="I84">
            <v>0</v>
          </cell>
          <cell r="J84">
            <v>121918.9432218301</v>
          </cell>
          <cell r="K84">
            <v>176107.71418047333</v>
          </cell>
          <cell r="L84">
            <v>223324.47281492662</v>
          </cell>
          <cell r="M84">
            <v>275618.8765083028</v>
          </cell>
          <cell r="N84">
            <v>336249.15548915626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103">
          <cell r="I103">
            <v>67441.14425598606</v>
          </cell>
          <cell r="J103">
            <v>74174.58810911777</v>
          </cell>
          <cell r="K103">
            <v>78220.2782905127</v>
          </cell>
          <cell r="L103">
            <v>82002.22989265171</v>
          </cell>
          <cell r="M103">
            <v>86310.083358701</v>
          </cell>
          <cell r="N103">
            <v>91128.56538550992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R93"/>
  <sheetViews>
    <sheetView zoomScale="70" zoomScaleNormal="70" workbookViewId="0" topLeftCell="A67">
      <selection activeCell="J80" sqref="J80"/>
    </sheetView>
  </sheetViews>
  <sheetFormatPr defaultColWidth="9.00390625" defaultRowHeight="12.75"/>
  <cols>
    <col min="1" max="1" width="10.125" style="11" bestFit="1" customWidth="1"/>
    <col min="2" max="2" width="50.625" style="11" customWidth="1"/>
    <col min="3" max="3" width="10.625" style="11" customWidth="1"/>
    <col min="4" max="4" width="21.625" style="11" customWidth="1"/>
    <col min="5" max="5" width="12.375" style="11" hidden="1" customWidth="1"/>
    <col min="6" max="6" width="0.6171875" style="11" hidden="1" customWidth="1"/>
    <col min="7" max="7" width="24.50390625" style="11" customWidth="1"/>
    <col min="8" max="8" width="23.50390625" style="154" customWidth="1"/>
    <col min="9" max="9" width="14.875" style="11" customWidth="1"/>
    <col min="10" max="10" width="23.875" style="154" customWidth="1"/>
    <col min="11" max="11" width="18.125" style="11" customWidth="1"/>
    <col min="12" max="12" width="19.50390625" style="11" customWidth="1"/>
    <col min="13" max="13" width="16.50390625" style="11" customWidth="1"/>
    <col min="14" max="14" width="15.625" style="11" hidden="1" customWidth="1"/>
    <col min="15" max="15" width="11.375" style="11" hidden="1" customWidth="1"/>
    <col min="16" max="16" width="40.50390625" style="10" customWidth="1"/>
    <col min="17" max="16384" width="9.125" style="11" customWidth="1"/>
  </cols>
  <sheetData>
    <row r="1" spans="1:16" s="5" customFormat="1" ht="11.25">
      <c r="A1" s="2"/>
      <c r="B1" s="2"/>
      <c r="C1" s="2"/>
      <c r="D1" s="3"/>
      <c r="E1" s="3"/>
      <c r="F1" s="3"/>
      <c r="G1" s="3"/>
      <c r="H1" s="4"/>
      <c r="I1" s="3"/>
      <c r="J1" s="4"/>
      <c r="K1" s="3"/>
      <c r="L1" s="3"/>
      <c r="M1" s="3"/>
      <c r="N1" s="3"/>
      <c r="O1" s="3"/>
      <c r="P1" s="1"/>
    </row>
    <row r="2" spans="1:16" s="9" customFormat="1" ht="11.25">
      <c r="A2" s="6"/>
      <c r="B2" s="6"/>
      <c r="C2" s="6"/>
      <c r="D2" s="6"/>
      <c r="E2" s="6"/>
      <c r="F2" s="6"/>
      <c r="G2" s="6"/>
      <c r="H2" s="7"/>
      <c r="I2" s="6"/>
      <c r="J2" s="7"/>
      <c r="K2" s="6"/>
      <c r="L2" s="6"/>
      <c r="M2" s="6"/>
      <c r="N2" s="6"/>
      <c r="O2" s="6"/>
      <c r="P2" s="8"/>
    </row>
    <row r="3" spans="1:15" ht="27.75" customHeight="1">
      <c r="A3" s="740" t="s">
        <v>413</v>
      </c>
      <c r="B3" s="740"/>
      <c r="C3" s="740"/>
      <c r="D3" s="740"/>
      <c r="E3" s="740"/>
      <c r="F3" s="740"/>
      <c r="G3" s="740"/>
      <c r="H3" s="740"/>
      <c r="I3" s="740"/>
      <c r="J3" s="740"/>
      <c r="K3" s="740"/>
      <c r="L3" s="740"/>
      <c r="M3" s="740"/>
      <c r="N3" s="740"/>
      <c r="O3" s="740"/>
    </row>
    <row r="4" spans="1:15" ht="2.25" customHeight="1">
      <c r="A4" s="739"/>
      <c r="B4" s="739"/>
      <c r="C4" s="739"/>
      <c r="D4" s="739"/>
      <c r="E4" s="739"/>
      <c r="F4" s="739"/>
      <c r="G4" s="739"/>
      <c r="H4" s="739"/>
      <c r="I4" s="739"/>
      <c r="J4" s="739"/>
      <c r="K4" s="739"/>
      <c r="L4" s="739"/>
      <c r="M4" s="739"/>
      <c r="N4" s="739"/>
      <c r="O4" s="739"/>
    </row>
    <row r="5" spans="1:15" ht="12" customHeight="1">
      <c r="A5" s="6"/>
      <c r="B5" s="6"/>
      <c r="C5" s="6"/>
      <c r="D5" s="6"/>
      <c r="E5" s="6"/>
      <c r="F5" s="6"/>
      <c r="G5" s="6"/>
      <c r="H5" s="7"/>
      <c r="I5" s="6"/>
      <c r="J5" s="7"/>
      <c r="K5" s="6"/>
      <c r="L5" s="6"/>
      <c r="M5" s="6"/>
      <c r="N5" s="6"/>
      <c r="O5" s="6"/>
    </row>
    <row r="6" spans="1:15" ht="12.75" customHeight="1" thickBot="1">
      <c r="A6" s="12"/>
      <c r="B6" s="12"/>
      <c r="C6" s="12"/>
      <c r="D6" s="12"/>
      <c r="E6" s="12"/>
      <c r="F6" s="12"/>
      <c r="G6" s="12"/>
      <c r="H6" s="13"/>
      <c r="I6" s="12"/>
      <c r="J6" s="13"/>
      <c r="K6" s="12"/>
      <c r="L6" s="12"/>
      <c r="M6" s="12"/>
      <c r="N6" s="12"/>
      <c r="O6" s="12"/>
    </row>
    <row r="7" spans="1:16" ht="22.5" customHeight="1">
      <c r="A7" s="741" t="s">
        <v>0</v>
      </c>
      <c r="B7" s="743" t="s">
        <v>1</v>
      </c>
      <c r="C7" s="743" t="s">
        <v>72</v>
      </c>
      <c r="D7" s="745" t="s">
        <v>73</v>
      </c>
      <c r="E7" s="747" t="s">
        <v>74</v>
      </c>
      <c r="F7" s="748"/>
      <c r="G7" s="749"/>
      <c r="H7" s="750" t="s">
        <v>75</v>
      </c>
      <c r="I7" s="750"/>
      <c r="J7" s="750"/>
      <c r="K7" s="750"/>
      <c r="L7" s="750"/>
      <c r="M7" s="750"/>
      <c r="N7" s="751" t="s">
        <v>76</v>
      </c>
      <c r="O7" s="773" t="s">
        <v>76</v>
      </c>
      <c r="P7" s="14" t="s">
        <v>77</v>
      </c>
    </row>
    <row r="8" spans="1:16" ht="22.5" customHeight="1" thickBot="1">
      <c r="A8" s="742"/>
      <c r="B8" s="744"/>
      <c r="C8" s="744"/>
      <c r="D8" s="746"/>
      <c r="E8" s="750" t="s">
        <v>78</v>
      </c>
      <c r="F8" s="750"/>
      <c r="G8" s="750"/>
      <c r="H8" s="759" t="s">
        <v>79</v>
      </c>
      <c r="I8" s="763" t="s">
        <v>80</v>
      </c>
      <c r="J8" s="760" t="s">
        <v>81</v>
      </c>
      <c r="K8" s="761"/>
      <c r="L8" s="762"/>
      <c r="M8" s="746" t="s">
        <v>82</v>
      </c>
      <c r="N8" s="752"/>
      <c r="O8" s="774"/>
      <c r="P8" s="17"/>
    </row>
    <row r="9" spans="1:18" ht="35.25" customHeight="1" thickBot="1">
      <c r="A9" s="742"/>
      <c r="B9" s="744"/>
      <c r="C9" s="744"/>
      <c r="D9" s="746"/>
      <c r="E9" s="15" t="s">
        <v>83</v>
      </c>
      <c r="F9" s="15" t="s">
        <v>84</v>
      </c>
      <c r="G9" s="15" t="s">
        <v>85</v>
      </c>
      <c r="H9" s="759"/>
      <c r="I9" s="764"/>
      <c r="J9" s="18" t="s">
        <v>86</v>
      </c>
      <c r="K9" s="15" t="s">
        <v>83</v>
      </c>
      <c r="L9" s="15" t="s">
        <v>84</v>
      </c>
      <c r="M9" s="746"/>
      <c r="N9" s="752"/>
      <c r="O9" s="774"/>
      <c r="P9" s="19"/>
      <c r="Q9" s="16"/>
      <c r="R9" s="9"/>
    </row>
    <row r="10" spans="1:18" s="5" customFormat="1" ht="12" customHeight="1" thickBot="1">
      <c r="A10" s="20">
        <v>1</v>
      </c>
      <c r="B10" s="21">
        <f>A10+1</f>
        <v>2</v>
      </c>
      <c r="C10" s="21">
        <f>B10+1</f>
        <v>3</v>
      </c>
      <c r="D10" s="21">
        <f>C10+1</f>
        <v>4</v>
      </c>
      <c r="E10" s="21">
        <f aca="true" t="shared" si="0" ref="E10:O10">D10+1</f>
        <v>5</v>
      </c>
      <c r="F10" s="21">
        <f t="shared" si="0"/>
        <v>6</v>
      </c>
      <c r="G10" s="21">
        <v>7</v>
      </c>
      <c r="H10" s="21">
        <v>8</v>
      </c>
      <c r="I10" s="21">
        <v>9</v>
      </c>
      <c r="J10" s="21">
        <f t="shared" si="0"/>
        <v>10</v>
      </c>
      <c r="K10" s="21">
        <f t="shared" si="0"/>
        <v>11</v>
      </c>
      <c r="L10" s="21">
        <f>K10+1</f>
        <v>12</v>
      </c>
      <c r="M10" s="21">
        <v>13</v>
      </c>
      <c r="N10" s="21">
        <f>L10+1</f>
        <v>13</v>
      </c>
      <c r="O10" s="22">
        <f t="shared" si="0"/>
        <v>14</v>
      </c>
      <c r="P10" s="23">
        <v>14</v>
      </c>
      <c r="Q10" s="24"/>
      <c r="R10" s="24"/>
    </row>
    <row r="11" spans="1:16" ht="21.75" customHeight="1" thickBot="1">
      <c r="A11" s="755" t="s">
        <v>87</v>
      </c>
      <c r="B11" s="756"/>
      <c r="C11" s="75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/>
    </row>
    <row r="12" spans="1:16" ht="17.25" customHeight="1">
      <c r="A12" s="27" t="s">
        <v>3</v>
      </c>
      <c r="B12" s="28" t="s">
        <v>88</v>
      </c>
      <c r="C12" s="29" t="s">
        <v>89</v>
      </c>
      <c r="D12" s="30">
        <v>0.061</v>
      </c>
      <c r="E12" s="30"/>
      <c r="F12" s="30"/>
      <c r="G12" s="30">
        <v>0.051</v>
      </c>
      <c r="H12" s="31">
        <v>0.059</v>
      </c>
      <c r="I12" s="32">
        <f>H12/G12</f>
        <v>1.1568627450980393</v>
      </c>
      <c r="J12" s="33">
        <v>0.059</v>
      </c>
      <c r="K12" s="30">
        <v>0.059</v>
      </c>
      <c r="L12" s="30">
        <v>0.059</v>
      </c>
      <c r="M12" s="34"/>
      <c r="N12" s="35">
        <v>0.059</v>
      </c>
      <c r="O12" s="36">
        <v>0.052</v>
      </c>
      <c r="P12" s="37"/>
    </row>
    <row r="13" spans="1:16" ht="17.25" customHeight="1">
      <c r="A13" s="27" t="s">
        <v>8</v>
      </c>
      <c r="B13" s="28" t="s">
        <v>90</v>
      </c>
      <c r="C13" s="29" t="s">
        <v>89</v>
      </c>
      <c r="D13" s="34" t="s">
        <v>91</v>
      </c>
      <c r="E13" s="34" t="s">
        <v>91</v>
      </c>
      <c r="F13" s="34" t="s">
        <v>91</v>
      </c>
      <c r="G13" s="30">
        <v>0.01</v>
      </c>
      <c r="H13" s="31">
        <v>0.01</v>
      </c>
      <c r="I13" s="32">
        <f aca="true" t="shared" si="1" ref="I13:I18">H13/G13</f>
        <v>1</v>
      </c>
      <c r="J13" s="33">
        <v>0.01</v>
      </c>
      <c r="K13" s="30">
        <v>0.01</v>
      </c>
      <c r="L13" s="30">
        <v>0.01</v>
      </c>
      <c r="M13" s="34"/>
      <c r="N13" s="30">
        <v>0.01</v>
      </c>
      <c r="O13" s="36">
        <v>0.01</v>
      </c>
      <c r="P13" s="37"/>
    </row>
    <row r="14" spans="1:16" ht="17.25" customHeight="1">
      <c r="A14" s="27" t="s">
        <v>9</v>
      </c>
      <c r="B14" s="28" t="s">
        <v>92</v>
      </c>
      <c r="C14" s="29" t="s">
        <v>93</v>
      </c>
      <c r="D14" s="38">
        <v>11861.04</v>
      </c>
      <c r="E14" s="38">
        <v>12504.76</v>
      </c>
      <c r="F14" s="38">
        <v>12504.76</v>
      </c>
      <c r="G14" s="38">
        <f>G15+G16+G17+G18</f>
        <v>12742.5</v>
      </c>
      <c r="H14" s="39">
        <f>H16+H17+H18</f>
        <v>12782.15</v>
      </c>
      <c r="I14" s="32">
        <f t="shared" si="1"/>
        <v>1.003111634294683</v>
      </c>
      <c r="J14" s="40">
        <f>J16+J17+J18</f>
        <v>12943.6</v>
      </c>
      <c r="K14" s="38">
        <f>K15+K16+K17+K18</f>
        <v>12943.6</v>
      </c>
      <c r="L14" s="38">
        <f>L15+L16+L17+L18</f>
        <v>12941.6</v>
      </c>
      <c r="M14" s="34"/>
      <c r="N14" s="38"/>
      <c r="O14" s="41"/>
      <c r="P14" s="37"/>
    </row>
    <row r="15" spans="1:16" ht="14.25" customHeight="1">
      <c r="A15" s="27"/>
      <c r="B15" s="42" t="s">
        <v>13</v>
      </c>
      <c r="C15" s="29"/>
      <c r="D15" s="38"/>
      <c r="E15" s="38">
        <v>0</v>
      </c>
      <c r="F15" s="38">
        <v>0</v>
      </c>
      <c r="G15" s="38"/>
      <c r="H15" s="39"/>
      <c r="I15" s="32"/>
      <c r="J15" s="40"/>
      <c r="K15" s="38"/>
      <c r="L15" s="38"/>
      <c r="M15" s="34"/>
      <c r="N15" s="38"/>
      <c r="O15" s="41"/>
      <c r="P15" s="37"/>
    </row>
    <row r="16" spans="1:16" ht="14.25" customHeight="1">
      <c r="A16" s="27"/>
      <c r="B16" s="42" t="s">
        <v>94</v>
      </c>
      <c r="C16" s="29"/>
      <c r="D16" s="38"/>
      <c r="E16" s="38">
        <v>2056.29</v>
      </c>
      <c r="F16" s="38">
        <v>2056.29</v>
      </c>
      <c r="G16" s="38">
        <v>2066.68</v>
      </c>
      <c r="H16" s="39">
        <v>2299.59</v>
      </c>
      <c r="I16" s="32">
        <f t="shared" si="1"/>
        <v>1.1126976600150968</v>
      </c>
      <c r="J16" s="40">
        <v>2296.74</v>
      </c>
      <c r="K16" s="38">
        <v>2296.74</v>
      </c>
      <c r="L16" s="38">
        <v>2294.74</v>
      </c>
      <c r="M16" s="34"/>
      <c r="N16" s="38"/>
      <c r="O16" s="41"/>
      <c r="P16" s="37"/>
    </row>
    <row r="17" spans="1:16" ht="14.25" customHeight="1">
      <c r="A17" s="27"/>
      <c r="B17" s="42" t="s">
        <v>95</v>
      </c>
      <c r="C17" s="29"/>
      <c r="D17" s="38"/>
      <c r="E17" s="38">
        <v>9091.08</v>
      </c>
      <c r="F17" s="38">
        <v>9091.08</v>
      </c>
      <c r="G17" s="38">
        <v>9288.88</v>
      </c>
      <c r="H17" s="39">
        <v>9125.16</v>
      </c>
      <c r="I17" s="32">
        <f t="shared" si="1"/>
        <v>0.9823746242819372</v>
      </c>
      <c r="J17" s="40">
        <v>9268.19</v>
      </c>
      <c r="K17" s="38">
        <v>9268.19</v>
      </c>
      <c r="L17" s="38">
        <v>9268.19</v>
      </c>
      <c r="M17" s="34"/>
      <c r="N17" s="38"/>
      <c r="O17" s="41"/>
      <c r="P17" s="37"/>
    </row>
    <row r="18" spans="1:16" ht="14.25" customHeight="1">
      <c r="A18" s="27"/>
      <c r="B18" s="42" t="s">
        <v>17</v>
      </c>
      <c r="C18" s="29"/>
      <c r="D18" s="38"/>
      <c r="E18" s="38">
        <v>1357.4</v>
      </c>
      <c r="F18" s="38">
        <v>1357.4</v>
      </c>
      <c r="G18" s="38">
        <v>1386.94</v>
      </c>
      <c r="H18" s="39">
        <v>1357.4</v>
      </c>
      <c r="I18" s="32">
        <f t="shared" si="1"/>
        <v>0.9787013136833606</v>
      </c>
      <c r="J18" s="40">
        <v>1378.67</v>
      </c>
      <c r="K18" s="38">
        <v>1378.67</v>
      </c>
      <c r="L18" s="38">
        <v>1378.67</v>
      </c>
      <c r="M18" s="34"/>
      <c r="N18" s="38"/>
      <c r="O18" s="41"/>
      <c r="P18" s="37"/>
    </row>
    <row r="19" spans="1:16" ht="20.25" customHeight="1">
      <c r="A19" s="27" t="s">
        <v>18</v>
      </c>
      <c r="B19" s="28" t="s">
        <v>96</v>
      </c>
      <c r="C19" s="29" t="s">
        <v>89</v>
      </c>
      <c r="D19" s="34" t="s">
        <v>91</v>
      </c>
      <c r="E19" s="34" t="s">
        <v>91</v>
      </c>
      <c r="F19" s="34" t="s">
        <v>91</v>
      </c>
      <c r="G19" s="34" t="s">
        <v>91</v>
      </c>
      <c r="H19" s="43">
        <f>IF(G14=0,0,(H14-G14)/G14)</f>
        <v>0.0031116342946831185</v>
      </c>
      <c r="I19" s="32" t="s">
        <v>91</v>
      </c>
      <c r="J19" s="43">
        <f>IF(G14=0,0,(J14-G14)/G14)</f>
        <v>0.015781832450461084</v>
      </c>
      <c r="K19" s="44">
        <f>IF(E14=0,0,(K14-E14)/E14)</f>
        <v>0.03509383626714948</v>
      </c>
      <c r="L19" s="34" t="s">
        <v>91</v>
      </c>
      <c r="M19" s="34"/>
      <c r="N19" s="44">
        <f>IF(K14=0,0,(N14-K14)/K14)</f>
        <v>-1</v>
      </c>
      <c r="O19" s="45">
        <f>IF(N14=0,0,(O14-N14)/N14)</f>
        <v>0</v>
      </c>
      <c r="P19" s="37"/>
    </row>
    <row r="20" spans="1:16" ht="20.25" customHeight="1">
      <c r="A20" s="27" t="s">
        <v>19</v>
      </c>
      <c r="B20" s="46" t="s">
        <v>97</v>
      </c>
      <c r="C20" s="47"/>
      <c r="D20" s="34" t="s">
        <v>91</v>
      </c>
      <c r="E20" s="34" t="s">
        <v>91</v>
      </c>
      <c r="F20" s="34" t="s">
        <v>91</v>
      </c>
      <c r="G20" s="34" t="s">
        <v>91</v>
      </c>
      <c r="H20" s="48"/>
      <c r="I20" s="32" t="s">
        <v>91</v>
      </c>
      <c r="J20" s="49">
        <f>K20-H20</f>
        <v>0.75</v>
      </c>
      <c r="K20" s="50">
        <v>0.75</v>
      </c>
      <c r="L20" s="34" t="s">
        <v>91</v>
      </c>
      <c r="M20" s="34"/>
      <c r="N20" s="50">
        <v>0.75</v>
      </c>
      <c r="O20" s="51">
        <v>0.75</v>
      </c>
      <c r="P20" s="37"/>
    </row>
    <row r="21" spans="1:16" ht="20.25" customHeight="1" thickBot="1">
      <c r="A21" s="52" t="s">
        <v>20</v>
      </c>
      <c r="B21" s="53" t="s">
        <v>98</v>
      </c>
      <c r="C21" s="54"/>
      <c r="D21" s="55" t="s">
        <v>91</v>
      </c>
      <c r="E21" s="55" t="s">
        <v>91</v>
      </c>
      <c r="F21" s="55" t="s">
        <v>91</v>
      </c>
      <c r="G21" s="55" t="s">
        <v>91</v>
      </c>
      <c r="H21" s="56" t="s">
        <v>91</v>
      </c>
      <c r="I21" s="57" t="s">
        <v>91</v>
      </c>
      <c r="J21" s="58">
        <f>(J12+1)*(1+J20*J19)*(1-J13)</f>
        <v>1.0608193732195408</v>
      </c>
      <c r="K21" s="55" t="s">
        <v>91</v>
      </c>
      <c r="L21" s="55" t="s">
        <v>91</v>
      </c>
      <c r="M21" s="59"/>
      <c r="N21" s="60">
        <f>(N12+1)*(1+N20*N19)*(1-N13)</f>
        <v>0.26210249999999996</v>
      </c>
      <c r="O21" s="61">
        <f>(O12+1)*(1+O20*O19)*(1-O13)</f>
        <v>1.04148</v>
      </c>
      <c r="P21" s="37"/>
    </row>
    <row r="22" spans="1:16" ht="23.25" customHeight="1" thickBot="1">
      <c r="A22" s="757" t="s">
        <v>99</v>
      </c>
      <c r="B22" s="758"/>
      <c r="C22" s="758"/>
      <c r="D22" s="62"/>
      <c r="E22" s="62"/>
      <c r="F22" s="62"/>
      <c r="G22" s="62"/>
      <c r="H22" s="62"/>
      <c r="I22" s="63"/>
      <c r="J22" s="62"/>
      <c r="K22" s="62"/>
      <c r="L22" s="64"/>
      <c r="M22" s="64"/>
      <c r="N22" s="62"/>
      <c r="O22" s="62"/>
      <c r="P22" s="37"/>
    </row>
    <row r="23" spans="1:16" ht="24" customHeight="1">
      <c r="A23" s="65" t="s">
        <v>34</v>
      </c>
      <c r="B23" s="66" t="s">
        <v>4</v>
      </c>
      <c r="C23" s="67" t="s">
        <v>100</v>
      </c>
      <c r="D23" s="68">
        <f>D24+D25</f>
        <v>33981.04</v>
      </c>
      <c r="E23" s="68">
        <f>E24+E25</f>
        <v>22058.575</v>
      </c>
      <c r="F23" s="68">
        <f>F24+F25</f>
        <v>22058.575</v>
      </c>
      <c r="G23" s="68">
        <f>G24+G25</f>
        <v>44117.15</v>
      </c>
      <c r="H23" s="69">
        <f>H24+H25</f>
        <v>46805.38</v>
      </c>
      <c r="I23" s="70">
        <f aca="true" t="shared" si="2" ref="I23:I35">J23/G23</f>
        <v>1.0609338998552715</v>
      </c>
      <c r="J23" s="69">
        <f>J24+J25</f>
        <v>46805.38</v>
      </c>
      <c r="K23" s="68">
        <f>K24+K25</f>
        <v>22981.44158</v>
      </c>
      <c r="L23" s="68">
        <f>L24+L25</f>
        <v>23823.93842</v>
      </c>
      <c r="M23" s="71">
        <f>J23-H23</f>
        <v>0</v>
      </c>
      <c r="N23" s="770"/>
      <c r="O23" s="765"/>
      <c r="P23" s="37"/>
    </row>
    <row r="24" spans="1:16" ht="18" customHeight="1">
      <c r="A24" s="65" t="s">
        <v>101</v>
      </c>
      <c r="B24" s="72" t="s">
        <v>6</v>
      </c>
      <c r="C24" s="67" t="s">
        <v>100</v>
      </c>
      <c r="D24" s="38">
        <v>6516.16</v>
      </c>
      <c r="E24" s="38">
        <f>G24/2</f>
        <v>7019.405</v>
      </c>
      <c r="F24" s="38">
        <f>G24-E24</f>
        <v>7019.405</v>
      </c>
      <c r="G24" s="38">
        <v>14038.81</v>
      </c>
      <c r="H24" s="39">
        <v>15442.69</v>
      </c>
      <c r="I24" s="70">
        <f t="shared" si="2"/>
        <v>1.0999999287688915</v>
      </c>
      <c r="J24" s="39">
        <f>H24</f>
        <v>15442.69</v>
      </c>
      <c r="K24" s="158">
        <f>J24*0.491</f>
        <v>7582.36079</v>
      </c>
      <c r="L24" s="38">
        <f>J24-K24</f>
        <v>7860.329210000001</v>
      </c>
      <c r="M24" s="71">
        <f aca="true" t="shared" si="3" ref="M24:M74">J24-H24</f>
        <v>0</v>
      </c>
      <c r="N24" s="771"/>
      <c r="O24" s="766"/>
      <c r="P24" s="74"/>
    </row>
    <row r="25" spans="1:16" ht="28.5" customHeight="1">
      <c r="A25" s="65" t="s">
        <v>102</v>
      </c>
      <c r="B25" s="72" t="s">
        <v>103</v>
      </c>
      <c r="C25" s="67" t="s">
        <v>100</v>
      </c>
      <c r="D25" s="38">
        <v>27464.88</v>
      </c>
      <c r="E25" s="38">
        <f>G25/2</f>
        <v>15039.17</v>
      </c>
      <c r="F25" s="38">
        <f>G25-E25</f>
        <v>15039.17</v>
      </c>
      <c r="G25" s="38">
        <v>30078.34</v>
      </c>
      <c r="H25" s="39">
        <v>31362.69</v>
      </c>
      <c r="I25" s="70">
        <f t="shared" si="2"/>
        <v>1.0427001623094891</v>
      </c>
      <c r="J25" s="39">
        <f>H25</f>
        <v>31362.69</v>
      </c>
      <c r="K25" s="158">
        <f>J25*0.491</f>
        <v>15399.08079</v>
      </c>
      <c r="L25" s="38">
        <f aca="true" t="shared" si="4" ref="L25:L52">J25-K25</f>
        <v>15963.609209999999</v>
      </c>
      <c r="M25" s="71">
        <f t="shared" si="3"/>
        <v>0</v>
      </c>
      <c r="N25" s="771"/>
      <c r="O25" s="766"/>
      <c r="P25" s="74"/>
    </row>
    <row r="26" spans="1:16" ht="24" customHeight="1">
      <c r="A26" s="65" t="s">
        <v>35</v>
      </c>
      <c r="B26" s="66" t="s">
        <v>104</v>
      </c>
      <c r="C26" s="67" t="s">
        <v>100</v>
      </c>
      <c r="D26" s="38">
        <v>192105.5</v>
      </c>
      <c r="E26" s="38">
        <v>99519.82</v>
      </c>
      <c r="F26" s="38">
        <f>G26-E26</f>
        <v>106754.225</v>
      </c>
      <c r="G26" s="38">
        <v>206274.045</v>
      </c>
      <c r="H26" s="39">
        <v>218443.36</v>
      </c>
      <c r="I26" s="70">
        <f t="shared" si="2"/>
        <v>1.0456182211387768</v>
      </c>
      <c r="J26" s="738">
        <v>215683.9</v>
      </c>
      <c r="K26" s="158">
        <f>J26*0.491</f>
        <v>105900.7949</v>
      </c>
      <c r="L26" s="38">
        <f t="shared" si="4"/>
        <v>109783.1051</v>
      </c>
      <c r="M26" s="71">
        <f t="shared" si="3"/>
        <v>-2759.459999999992</v>
      </c>
      <c r="N26" s="771"/>
      <c r="O26" s="766"/>
      <c r="P26" s="74"/>
    </row>
    <row r="27" spans="1:16" ht="28.5" customHeight="1">
      <c r="A27" s="65" t="s">
        <v>37</v>
      </c>
      <c r="B27" s="66" t="s">
        <v>105</v>
      </c>
      <c r="C27" s="67" t="s">
        <v>100</v>
      </c>
      <c r="D27" s="68">
        <f>D28+D29+D30+D39+D40+D41+D42+D43+D44+D45</f>
        <v>57524.189999999995</v>
      </c>
      <c r="E27" s="68">
        <f>E28+E29+E30+E39+E40+E41+E42+E43+E44+E45</f>
        <v>0</v>
      </c>
      <c r="F27" s="68">
        <f>F28+F29+F30+F39+F40+F41+F42+F43+F44+F45</f>
        <v>41012.16</v>
      </c>
      <c r="G27" s="68">
        <f>G28+G29+G30+G39+G40+G41+G42+G43+G44+G45</f>
        <v>41012.16</v>
      </c>
      <c r="H27" s="69">
        <f>H28+H29+H30+H39+H40+H41+H42+H43+H44+H45</f>
        <v>68036.92000000001</v>
      </c>
      <c r="I27" s="70">
        <f t="shared" si="2"/>
        <v>1.5413885052628291</v>
      </c>
      <c r="J27" s="69">
        <f>J28+J29+J30+J39+J40+J41+J42+J43+J44+J45</f>
        <v>63215.672</v>
      </c>
      <c r="K27" s="68">
        <f>K28+K29+K30+K39+K40+K41+K42+K43+K44+K45</f>
        <v>31038.894952</v>
      </c>
      <c r="L27" s="68">
        <f>L28+L29+L30+L39+L40+L41+L42+L43+L44+L45</f>
        <v>32176.777048</v>
      </c>
      <c r="M27" s="71">
        <f t="shared" si="3"/>
        <v>-4821.248000000014</v>
      </c>
      <c r="N27" s="771"/>
      <c r="O27" s="766"/>
      <c r="P27" s="37"/>
    </row>
    <row r="28" spans="1:16" ht="21.75" customHeight="1">
      <c r="A28" s="65" t="s">
        <v>39</v>
      </c>
      <c r="B28" s="76" t="s">
        <v>21</v>
      </c>
      <c r="C28" s="67" t="s">
        <v>100</v>
      </c>
      <c r="D28" s="38">
        <v>5542.57</v>
      </c>
      <c r="E28" s="38">
        <v>0</v>
      </c>
      <c r="F28" s="38">
        <f>G28-E28</f>
        <v>5312.19</v>
      </c>
      <c r="G28" s="38">
        <v>5312.19</v>
      </c>
      <c r="H28" s="39">
        <v>6239.26</v>
      </c>
      <c r="I28" s="70">
        <f t="shared" si="2"/>
        <v>0.5835634644092174</v>
      </c>
      <c r="J28" s="39">
        <f>2468+632</f>
        <v>3100</v>
      </c>
      <c r="K28" s="158">
        <f>J28*0.491</f>
        <v>1522.1</v>
      </c>
      <c r="L28" s="38">
        <f t="shared" si="4"/>
        <v>1577.9</v>
      </c>
      <c r="M28" s="71">
        <f t="shared" si="3"/>
        <v>-3139.26</v>
      </c>
      <c r="N28" s="771"/>
      <c r="O28" s="766"/>
      <c r="P28" s="37"/>
    </row>
    <row r="29" spans="1:16" ht="24" customHeight="1">
      <c r="A29" s="65" t="s">
        <v>40</v>
      </c>
      <c r="B29" s="76" t="s">
        <v>106</v>
      </c>
      <c r="C29" s="67"/>
      <c r="D29" s="38">
        <v>16486.12</v>
      </c>
      <c r="E29" s="38">
        <v>0</v>
      </c>
      <c r="F29" s="38">
        <f>G29-E29</f>
        <v>5310.69</v>
      </c>
      <c r="G29" s="38">
        <v>5310.69</v>
      </c>
      <c r="H29" s="39">
        <v>16477.638</v>
      </c>
      <c r="I29" s="70">
        <f t="shared" si="2"/>
        <v>3.056834422645645</v>
      </c>
      <c r="J29" s="39">
        <f>13233.9+3000</f>
        <v>16233.9</v>
      </c>
      <c r="K29" s="158">
        <f aca="true" t="shared" si="5" ref="K29:K52">J29*0.491</f>
        <v>7970.8449</v>
      </c>
      <c r="L29" s="38">
        <f t="shared" si="4"/>
        <v>8263.0551</v>
      </c>
      <c r="M29" s="71">
        <f t="shared" si="3"/>
        <v>-243.73799999999937</v>
      </c>
      <c r="N29" s="771"/>
      <c r="O29" s="766"/>
      <c r="P29" s="37"/>
    </row>
    <row r="30" spans="1:16" ht="17.25" customHeight="1">
      <c r="A30" s="65" t="s">
        <v>41</v>
      </c>
      <c r="B30" s="77" t="s">
        <v>107</v>
      </c>
      <c r="C30" s="78" t="s">
        <v>100</v>
      </c>
      <c r="D30" s="68">
        <f>SUM(D31:D38)</f>
        <v>11929.04</v>
      </c>
      <c r="E30" s="68">
        <f>SUM(E31:E38)</f>
        <v>0</v>
      </c>
      <c r="F30" s="68">
        <f>SUM(F31:F38)</f>
        <v>10246.169999999998</v>
      </c>
      <c r="G30" s="68">
        <f>SUM(G31:G38)</f>
        <v>10246.169999999998</v>
      </c>
      <c r="H30" s="69">
        <f>SUM(H31:H38)</f>
        <v>15886.296</v>
      </c>
      <c r="I30" s="70">
        <f t="shared" si="2"/>
        <v>1.7250418449039986</v>
      </c>
      <c r="J30" s="69">
        <f>SUM(J31:J38)</f>
        <v>17675.072</v>
      </c>
      <c r="K30" s="69">
        <f>SUM(K31:K38)</f>
        <v>8678.460352</v>
      </c>
      <c r="L30" s="69">
        <f>SUM(L31:L38)</f>
        <v>8996.611648</v>
      </c>
      <c r="M30" s="71">
        <f t="shared" si="3"/>
        <v>1788.7759999999998</v>
      </c>
      <c r="N30" s="771"/>
      <c r="O30" s="766"/>
      <c r="P30" s="37"/>
    </row>
    <row r="31" spans="1:16" ht="16.5" customHeight="1">
      <c r="A31" s="65" t="s">
        <v>108</v>
      </c>
      <c r="B31" s="79" t="s">
        <v>23</v>
      </c>
      <c r="C31" s="67" t="s">
        <v>100</v>
      </c>
      <c r="D31" s="38">
        <v>1374.8</v>
      </c>
      <c r="E31" s="38"/>
      <c r="F31" s="38">
        <f>G31-E31</f>
        <v>1857.7</v>
      </c>
      <c r="G31" s="38">
        <v>1857.7</v>
      </c>
      <c r="H31" s="39">
        <v>1915.472</v>
      </c>
      <c r="I31" s="70">
        <f t="shared" si="2"/>
        <v>1.0310986703988803</v>
      </c>
      <c r="J31" s="39">
        <f>H31</f>
        <v>1915.472</v>
      </c>
      <c r="K31" s="158">
        <f t="shared" si="5"/>
        <v>940.496752</v>
      </c>
      <c r="L31" s="38">
        <f t="shared" si="4"/>
        <v>974.975248</v>
      </c>
      <c r="M31" s="71">
        <f t="shared" si="3"/>
        <v>0</v>
      </c>
      <c r="N31" s="771"/>
      <c r="O31" s="766"/>
      <c r="P31" s="37"/>
    </row>
    <row r="32" spans="1:16" ht="22.5">
      <c r="A32" s="65" t="s">
        <v>109</v>
      </c>
      <c r="B32" s="79" t="s">
        <v>110</v>
      </c>
      <c r="C32" s="67" t="s">
        <v>100</v>
      </c>
      <c r="D32" s="38">
        <v>2520.42</v>
      </c>
      <c r="E32" s="38"/>
      <c r="F32" s="38">
        <f aca="true" t="shared" si="6" ref="F32:F45">G32-E32</f>
        <v>2036.38</v>
      </c>
      <c r="G32" s="38">
        <v>2036.38</v>
      </c>
      <c r="H32" s="39">
        <v>2610.536</v>
      </c>
      <c r="I32" s="70">
        <f t="shared" si="2"/>
        <v>1.7128433789371333</v>
      </c>
      <c r="J32" s="39">
        <v>3488</v>
      </c>
      <c r="K32" s="158">
        <f t="shared" si="5"/>
        <v>1712.608</v>
      </c>
      <c r="L32" s="38">
        <f t="shared" si="4"/>
        <v>1775.392</v>
      </c>
      <c r="M32" s="71">
        <f t="shared" si="3"/>
        <v>877.4639999999999</v>
      </c>
      <c r="N32" s="771"/>
      <c r="O32" s="766"/>
      <c r="P32" s="37" t="s">
        <v>411</v>
      </c>
    </row>
    <row r="33" spans="1:16" ht="15" customHeight="1">
      <c r="A33" s="65" t="s">
        <v>111</v>
      </c>
      <c r="B33" s="79" t="s">
        <v>24</v>
      </c>
      <c r="C33" s="67" t="s">
        <v>100</v>
      </c>
      <c r="D33" s="38">
        <v>5342.91</v>
      </c>
      <c r="E33" s="38"/>
      <c r="F33" s="38">
        <f t="shared" si="6"/>
        <v>4641.95</v>
      </c>
      <c r="G33" s="38">
        <v>4641.95</v>
      </c>
      <c r="H33" s="39">
        <v>8338.188</v>
      </c>
      <c r="I33" s="70">
        <f t="shared" si="2"/>
        <v>1.6456015252210818</v>
      </c>
      <c r="J33" s="39">
        <v>7638.8</v>
      </c>
      <c r="K33" s="158">
        <f t="shared" si="5"/>
        <v>3750.6508</v>
      </c>
      <c r="L33" s="38">
        <f t="shared" si="4"/>
        <v>3888.1492000000003</v>
      </c>
      <c r="M33" s="71">
        <f t="shared" si="3"/>
        <v>-699.3879999999999</v>
      </c>
      <c r="N33" s="771"/>
      <c r="O33" s="766"/>
      <c r="P33" s="37"/>
    </row>
    <row r="34" spans="1:16" ht="15" customHeight="1">
      <c r="A34" s="65" t="s">
        <v>112</v>
      </c>
      <c r="B34" s="79" t="s">
        <v>113</v>
      </c>
      <c r="C34" s="67" t="s">
        <v>100</v>
      </c>
      <c r="D34" s="38">
        <f>789.56+260.4</f>
        <v>1049.96</v>
      </c>
      <c r="E34" s="38"/>
      <c r="F34" s="38">
        <f t="shared" si="6"/>
        <v>1083.07</v>
      </c>
      <c r="G34" s="38">
        <f>177.17+905.9</f>
        <v>1083.07</v>
      </c>
      <c r="H34" s="39">
        <f>894.7+285</f>
        <v>1179.7</v>
      </c>
      <c r="I34" s="70">
        <f t="shared" si="2"/>
        <v>2.4604134543473646</v>
      </c>
      <c r="J34" s="39">
        <f>2289.3+375.5</f>
        <v>2664.8</v>
      </c>
      <c r="K34" s="158">
        <f t="shared" si="5"/>
        <v>1308.4168</v>
      </c>
      <c r="L34" s="38">
        <f t="shared" si="4"/>
        <v>1356.3832000000002</v>
      </c>
      <c r="M34" s="71">
        <f t="shared" si="3"/>
        <v>1485.1000000000001</v>
      </c>
      <c r="N34" s="771"/>
      <c r="O34" s="766"/>
      <c r="P34" s="37"/>
    </row>
    <row r="35" spans="1:16" ht="30" customHeight="1">
      <c r="A35" s="65" t="s">
        <v>114</v>
      </c>
      <c r="B35" s="79" t="s">
        <v>115</v>
      </c>
      <c r="C35" s="67" t="s">
        <v>100</v>
      </c>
      <c r="D35" s="38">
        <v>479.29</v>
      </c>
      <c r="E35" s="38"/>
      <c r="F35" s="38">
        <f t="shared" si="6"/>
        <v>627.07</v>
      </c>
      <c r="G35" s="38">
        <v>627.07</v>
      </c>
      <c r="H35" s="39">
        <v>642.4</v>
      </c>
      <c r="I35" s="70">
        <f t="shared" si="2"/>
        <v>1.0014830880125025</v>
      </c>
      <c r="J35" s="39">
        <v>628</v>
      </c>
      <c r="K35" s="158">
        <f t="shared" si="5"/>
        <v>308.348</v>
      </c>
      <c r="L35" s="38">
        <f t="shared" si="4"/>
        <v>319.652</v>
      </c>
      <c r="M35" s="71">
        <f t="shared" si="3"/>
        <v>-14.399999999999977</v>
      </c>
      <c r="N35" s="771"/>
      <c r="O35" s="766"/>
      <c r="P35" s="37"/>
    </row>
    <row r="36" spans="1:16" ht="15" customHeight="1">
      <c r="A36" s="65" t="s">
        <v>116</v>
      </c>
      <c r="B36" s="79" t="s">
        <v>25</v>
      </c>
      <c r="C36" s="67" t="s">
        <v>100</v>
      </c>
      <c r="D36" s="38"/>
      <c r="E36" s="38"/>
      <c r="F36" s="38">
        <f t="shared" si="6"/>
        <v>0</v>
      </c>
      <c r="G36" s="38">
        <v>0</v>
      </c>
      <c r="H36" s="39"/>
      <c r="I36" s="70"/>
      <c r="J36" s="39">
        <v>750</v>
      </c>
      <c r="K36" s="158">
        <f t="shared" si="5"/>
        <v>368.25</v>
      </c>
      <c r="L36" s="38">
        <f t="shared" si="4"/>
        <v>381.75</v>
      </c>
      <c r="M36" s="71">
        <f t="shared" si="3"/>
        <v>750</v>
      </c>
      <c r="N36" s="771"/>
      <c r="O36" s="766"/>
      <c r="P36" s="37"/>
    </row>
    <row r="37" spans="1:16" ht="15" customHeight="1">
      <c r="A37" s="65" t="s">
        <v>117</v>
      </c>
      <c r="B37" s="79" t="s">
        <v>26</v>
      </c>
      <c r="C37" s="67" t="s">
        <v>100</v>
      </c>
      <c r="D37" s="38">
        <v>1161.66</v>
      </c>
      <c r="E37" s="38"/>
      <c r="F37" s="38">
        <f t="shared" si="6"/>
        <v>0</v>
      </c>
      <c r="G37" s="38">
        <v>0</v>
      </c>
      <c r="H37" s="39">
        <v>1200</v>
      </c>
      <c r="I37" s="70"/>
      <c r="J37" s="39">
        <v>590</v>
      </c>
      <c r="K37" s="158">
        <f t="shared" si="5"/>
        <v>289.69</v>
      </c>
      <c r="L37" s="38">
        <f t="shared" si="4"/>
        <v>300.31</v>
      </c>
      <c r="M37" s="71">
        <f t="shared" si="3"/>
        <v>-610</v>
      </c>
      <c r="N37" s="771"/>
      <c r="O37" s="766"/>
      <c r="P37" s="37"/>
    </row>
    <row r="38" spans="1:16" ht="15" customHeight="1">
      <c r="A38" s="65" t="s">
        <v>118</v>
      </c>
      <c r="B38" s="79" t="s">
        <v>119</v>
      </c>
      <c r="C38" s="67" t="s">
        <v>100</v>
      </c>
      <c r="D38" s="38"/>
      <c r="E38" s="38"/>
      <c r="F38" s="38">
        <f t="shared" si="6"/>
        <v>0</v>
      </c>
      <c r="G38" s="38">
        <v>0</v>
      </c>
      <c r="H38" s="39">
        <v>0</v>
      </c>
      <c r="I38" s="70"/>
      <c r="J38" s="39"/>
      <c r="K38" s="158">
        <f t="shared" si="5"/>
        <v>0</v>
      </c>
      <c r="L38" s="38">
        <f t="shared" si="4"/>
        <v>0</v>
      </c>
      <c r="M38" s="71">
        <f t="shared" si="3"/>
        <v>0</v>
      </c>
      <c r="N38" s="771"/>
      <c r="O38" s="766"/>
      <c r="P38" s="37"/>
    </row>
    <row r="39" spans="1:16" ht="22.5">
      <c r="A39" s="65" t="s">
        <v>42</v>
      </c>
      <c r="B39" s="77" t="s">
        <v>27</v>
      </c>
      <c r="C39" s="67" t="s">
        <v>100</v>
      </c>
      <c r="D39" s="38">
        <v>2065.15</v>
      </c>
      <c r="E39" s="38"/>
      <c r="F39" s="38">
        <f t="shared" si="6"/>
        <v>7470.65</v>
      </c>
      <c r="G39" s="38">
        <v>7470.65</v>
      </c>
      <c r="H39" s="39">
        <v>6239.636</v>
      </c>
      <c r="I39" s="70">
        <f>J39/G39</f>
        <v>0.5980068668723605</v>
      </c>
      <c r="J39" s="39">
        <v>4467.5</v>
      </c>
      <c r="K39" s="158">
        <f t="shared" si="5"/>
        <v>2193.5425</v>
      </c>
      <c r="L39" s="38">
        <f t="shared" si="4"/>
        <v>2273.9575</v>
      </c>
      <c r="M39" s="71">
        <f t="shared" si="3"/>
        <v>-1772.1360000000004</v>
      </c>
      <c r="N39" s="771"/>
      <c r="O39" s="766"/>
      <c r="P39" s="37"/>
    </row>
    <row r="40" spans="1:16" ht="15" customHeight="1">
      <c r="A40" s="65" t="s">
        <v>120</v>
      </c>
      <c r="B40" s="77" t="s">
        <v>29</v>
      </c>
      <c r="C40" s="67" t="s">
        <v>100</v>
      </c>
      <c r="D40" s="38">
        <v>695.19</v>
      </c>
      <c r="E40" s="38"/>
      <c r="F40" s="38">
        <f t="shared" si="6"/>
        <v>1851.91</v>
      </c>
      <c r="G40" s="38">
        <v>1851.91</v>
      </c>
      <c r="H40" s="39">
        <v>1773.8</v>
      </c>
      <c r="I40" s="70">
        <f>J40/G40</f>
        <v>0.6944181952686685</v>
      </c>
      <c r="J40" s="39">
        <v>1286</v>
      </c>
      <c r="K40" s="158">
        <f t="shared" si="5"/>
        <v>631.426</v>
      </c>
      <c r="L40" s="38">
        <f t="shared" si="4"/>
        <v>654.574</v>
      </c>
      <c r="M40" s="71">
        <f t="shared" si="3"/>
        <v>-487.79999999999995</v>
      </c>
      <c r="N40" s="771"/>
      <c r="O40" s="766"/>
      <c r="P40" s="37"/>
    </row>
    <row r="41" spans="1:16" ht="15" customHeight="1">
      <c r="A41" s="65" t="s">
        <v>121</v>
      </c>
      <c r="B41" s="77" t="s">
        <v>30</v>
      </c>
      <c r="C41" s="67" t="s">
        <v>100</v>
      </c>
      <c r="D41" s="38">
        <v>46.67</v>
      </c>
      <c r="E41" s="38"/>
      <c r="F41" s="38">
        <f t="shared" si="6"/>
        <v>407.49</v>
      </c>
      <c r="G41" s="38">
        <v>407.49</v>
      </c>
      <c r="H41" s="39">
        <v>284.64</v>
      </c>
      <c r="I41" s="70">
        <f>J41/G41</f>
        <v>0.7023485238901568</v>
      </c>
      <c r="J41" s="39">
        <v>286.2</v>
      </c>
      <c r="K41" s="158">
        <f t="shared" si="5"/>
        <v>140.52419999999998</v>
      </c>
      <c r="L41" s="38">
        <f t="shared" si="4"/>
        <v>145.6758</v>
      </c>
      <c r="M41" s="71">
        <f t="shared" si="3"/>
        <v>1.5600000000000023</v>
      </c>
      <c r="N41" s="771"/>
      <c r="O41" s="766"/>
      <c r="P41" s="37"/>
    </row>
    <row r="42" spans="1:16" ht="15" customHeight="1">
      <c r="A42" s="65" t="s">
        <v>122</v>
      </c>
      <c r="B42" s="77" t="s">
        <v>31</v>
      </c>
      <c r="C42" s="67" t="s">
        <v>100</v>
      </c>
      <c r="D42" s="38">
        <v>13388.5</v>
      </c>
      <c r="E42" s="38"/>
      <c r="F42" s="38">
        <f t="shared" si="6"/>
        <v>5528.44</v>
      </c>
      <c r="G42" s="38">
        <v>5528.44</v>
      </c>
      <c r="H42" s="39">
        <v>14169.87</v>
      </c>
      <c r="I42" s="70">
        <f>J42/G42</f>
        <v>2.9764273465932525</v>
      </c>
      <c r="J42" s="39">
        <v>16455</v>
      </c>
      <c r="K42" s="158">
        <f t="shared" si="5"/>
        <v>8079.405</v>
      </c>
      <c r="L42" s="38">
        <f t="shared" si="4"/>
        <v>8375.595000000001</v>
      </c>
      <c r="M42" s="71">
        <f t="shared" si="3"/>
        <v>2285.129999999999</v>
      </c>
      <c r="N42" s="771"/>
      <c r="O42" s="766"/>
      <c r="P42" s="37" t="s">
        <v>412</v>
      </c>
    </row>
    <row r="43" spans="1:16" ht="15" customHeight="1">
      <c r="A43" s="65" t="s">
        <v>123</v>
      </c>
      <c r="B43" s="77" t="s">
        <v>124</v>
      </c>
      <c r="C43" s="67" t="s">
        <v>100</v>
      </c>
      <c r="D43" s="38"/>
      <c r="E43" s="38"/>
      <c r="F43" s="38">
        <f t="shared" si="6"/>
        <v>0</v>
      </c>
      <c r="G43" s="38">
        <v>0</v>
      </c>
      <c r="H43" s="39">
        <v>0</v>
      </c>
      <c r="I43" s="70"/>
      <c r="J43" s="39">
        <v>0</v>
      </c>
      <c r="K43" s="158">
        <f t="shared" si="5"/>
        <v>0</v>
      </c>
      <c r="L43" s="38">
        <f t="shared" si="4"/>
        <v>0</v>
      </c>
      <c r="M43" s="71">
        <f t="shared" si="3"/>
        <v>0</v>
      </c>
      <c r="N43" s="771"/>
      <c r="O43" s="766"/>
      <c r="P43" s="37"/>
    </row>
    <row r="44" spans="1:16" ht="15" customHeight="1">
      <c r="A44" s="65" t="s">
        <v>125</v>
      </c>
      <c r="B44" s="77" t="s">
        <v>126</v>
      </c>
      <c r="C44" s="67" t="s">
        <v>100</v>
      </c>
      <c r="D44" s="38"/>
      <c r="E44" s="38"/>
      <c r="F44" s="38">
        <f t="shared" si="6"/>
        <v>0</v>
      </c>
      <c r="G44" s="38">
        <v>0</v>
      </c>
      <c r="H44" s="39">
        <v>0</v>
      </c>
      <c r="I44" s="70"/>
      <c r="J44" s="39">
        <v>0</v>
      </c>
      <c r="K44" s="158">
        <f t="shared" si="5"/>
        <v>0</v>
      </c>
      <c r="L44" s="38">
        <f t="shared" si="4"/>
        <v>0</v>
      </c>
      <c r="M44" s="71">
        <f t="shared" si="3"/>
        <v>0</v>
      </c>
      <c r="N44" s="771"/>
      <c r="O44" s="766"/>
      <c r="P44" s="37"/>
    </row>
    <row r="45" spans="1:16" ht="15" customHeight="1">
      <c r="A45" s="65" t="s">
        <v>127</v>
      </c>
      <c r="B45" s="77" t="s">
        <v>32</v>
      </c>
      <c r="C45" s="67" t="s">
        <v>100</v>
      </c>
      <c r="D45" s="38">
        <v>7370.95</v>
      </c>
      <c r="E45" s="38"/>
      <c r="F45" s="38">
        <f t="shared" si="6"/>
        <v>4884.62</v>
      </c>
      <c r="G45" s="38">
        <v>4884.62</v>
      </c>
      <c r="H45" s="39">
        <v>6965.78</v>
      </c>
      <c r="I45" s="70">
        <f>J45/G45</f>
        <v>0.7599362898239781</v>
      </c>
      <c r="J45" s="39">
        <v>3712</v>
      </c>
      <c r="K45" s="158">
        <f t="shared" si="5"/>
        <v>1822.5919999999999</v>
      </c>
      <c r="L45" s="38">
        <f t="shared" si="4"/>
        <v>1889.4080000000001</v>
      </c>
      <c r="M45" s="71">
        <f t="shared" si="3"/>
        <v>-3253.7799999999997</v>
      </c>
      <c r="N45" s="771"/>
      <c r="O45" s="766"/>
      <c r="P45" s="37"/>
    </row>
    <row r="46" spans="1:16" ht="24" customHeight="1">
      <c r="A46" s="65" t="s">
        <v>128</v>
      </c>
      <c r="B46" s="66" t="s">
        <v>129</v>
      </c>
      <c r="C46" s="67" t="s">
        <v>100</v>
      </c>
      <c r="D46" s="68">
        <f>D47+D48+D49</f>
        <v>2107.01</v>
      </c>
      <c r="E46" s="68">
        <f>E47+E48+E49</f>
        <v>0</v>
      </c>
      <c r="F46" s="68">
        <f>F47+F48+F49</f>
        <v>10954.49</v>
      </c>
      <c r="G46" s="68">
        <f>G47+G48+G49</f>
        <v>10954.49</v>
      </c>
      <c r="H46" s="69">
        <f>H47+H48+H49</f>
        <v>11903.539400000001</v>
      </c>
      <c r="I46" s="70">
        <f>J46/G46</f>
        <v>1.4162138082192781</v>
      </c>
      <c r="J46" s="40">
        <f>J47+J48+J49</f>
        <v>15513.9</v>
      </c>
      <c r="K46" s="40">
        <f>K47+K48+K49</f>
        <v>7617.3249</v>
      </c>
      <c r="L46" s="40">
        <f>L47+L48+L49</f>
        <v>7896.5751</v>
      </c>
      <c r="M46" s="71">
        <f t="shared" si="3"/>
        <v>3610.360599999998</v>
      </c>
      <c r="N46" s="771"/>
      <c r="O46" s="766"/>
      <c r="P46" s="37"/>
    </row>
    <row r="47" spans="1:16" ht="16.5" customHeight="1">
      <c r="A47" s="65" t="s">
        <v>130</v>
      </c>
      <c r="B47" s="77" t="s">
        <v>131</v>
      </c>
      <c r="C47" s="67" t="s">
        <v>100</v>
      </c>
      <c r="D47" s="38">
        <v>1277.2</v>
      </c>
      <c r="E47" s="38"/>
      <c r="F47" s="38">
        <f>G47-E47</f>
        <v>2040.55</v>
      </c>
      <c r="G47" s="38">
        <v>2040.55</v>
      </c>
      <c r="H47" s="39">
        <v>2050.46</v>
      </c>
      <c r="I47" s="70">
        <f>J47/G47</f>
        <v>0.7419078189703757</v>
      </c>
      <c r="J47" s="39">
        <v>1513.9</v>
      </c>
      <c r="K47" s="158">
        <f t="shared" si="5"/>
        <v>743.3249000000001</v>
      </c>
      <c r="L47" s="38">
        <f t="shared" si="4"/>
        <v>770.5751</v>
      </c>
      <c r="M47" s="71">
        <f t="shared" si="3"/>
        <v>-536.56</v>
      </c>
      <c r="N47" s="771"/>
      <c r="O47" s="766"/>
      <c r="P47" s="37"/>
    </row>
    <row r="48" spans="1:16" ht="18.75" customHeight="1">
      <c r="A48" s="65" t="s">
        <v>132</v>
      </c>
      <c r="B48" s="77" t="s">
        <v>36</v>
      </c>
      <c r="C48" s="67" t="s">
        <v>100</v>
      </c>
      <c r="D48" s="80"/>
      <c r="E48" s="38"/>
      <c r="F48" s="38">
        <f>G48-E48</f>
        <v>8913.94</v>
      </c>
      <c r="G48" s="38">
        <v>8913.94</v>
      </c>
      <c r="H48" s="81">
        <f>G48*1.01</f>
        <v>9003.0794</v>
      </c>
      <c r="I48" s="70">
        <f>J48/G48</f>
        <v>1.5705737305837821</v>
      </c>
      <c r="J48" s="39">
        <v>14000</v>
      </c>
      <c r="K48" s="158">
        <f t="shared" si="5"/>
        <v>6874</v>
      </c>
      <c r="L48" s="38">
        <f t="shared" si="4"/>
        <v>7126</v>
      </c>
      <c r="M48" s="71">
        <f t="shared" si="3"/>
        <v>4996.9205999999995</v>
      </c>
      <c r="N48" s="771"/>
      <c r="O48" s="766"/>
      <c r="P48" s="82"/>
    </row>
    <row r="49" spans="1:16" ht="16.5" customHeight="1">
      <c r="A49" s="65" t="s">
        <v>133</v>
      </c>
      <c r="B49" s="77" t="s">
        <v>134</v>
      </c>
      <c r="C49" s="67"/>
      <c r="D49" s="83">
        <f>397.05+25.3+135.14+272.32+0</f>
        <v>829.81</v>
      </c>
      <c r="E49" s="38"/>
      <c r="F49" s="38">
        <f>G49-E49</f>
        <v>0</v>
      </c>
      <c r="G49" s="38">
        <v>0</v>
      </c>
      <c r="H49" s="84">
        <v>850</v>
      </c>
      <c r="I49" s="70"/>
      <c r="J49" s="39">
        <v>0</v>
      </c>
      <c r="K49" s="158">
        <f t="shared" si="5"/>
        <v>0</v>
      </c>
      <c r="L49" s="38">
        <f t="shared" si="4"/>
        <v>0</v>
      </c>
      <c r="M49" s="71">
        <f t="shared" si="3"/>
        <v>-850</v>
      </c>
      <c r="N49" s="771"/>
      <c r="O49" s="766"/>
      <c r="P49" s="37"/>
    </row>
    <row r="50" spans="1:16" ht="24" customHeight="1">
      <c r="A50" s="65" t="s">
        <v>44</v>
      </c>
      <c r="B50" s="66" t="s">
        <v>135</v>
      </c>
      <c r="C50" s="67" t="s">
        <v>100</v>
      </c>
      <c r="D50" s="68">
        <f>D51+D52</f>
        <v>5810.240000000001</v>
      </c>
      <c r="E50" s="68">
        <f>E51+E52</f>
        <v>0</v>
      </c>
      <c r="F50" s="68">
        <f>F51+F52</f>
        <v>19162.12</v>
      </c>
      <c r="G50" s="68">
        <f>G51+G52</f>
        <v>19162.12</v>
      </c>
      <c r="H50" s="69">
        <f>H51+H52</f>
        <v>11620</v>
      </c>
      <c r="I50" s="70">
        <f>J50/G50</f>
        <v>0.42800587826399167</v>
      </c>
      <c r="J50" s="40">
        <f>J51+J52</f>
        <v>8201.5</v>
      </c>
      <c r="K50" s="40">
        <f>K51+K52</f>
        <v>4026.9365</v>
      </c>
      <c r="L50" s="40">
        <f>L51+L52</f>
        <v>4174.5635</v>
      </c>
      <c r="M50" s="71">
        <f t="shared" si="3"/>
        <v>-3418.5</v>
      </c>
      <c r="N50" s="771"/>
      <c r="O50" s="766"/>
      <c r="P50" s="37"/>
    </row>
    <row r="51" spans="1:16" ht="22.5">
      <c r="A51" s="85" t="s">
        <v>136</v>
      </c>
      <c r="B51" s="72" t="s">
        <v>137</v>
      </c>
      <c r="C51" s="67" t="s">
        <v>100</v>
      </c>
      <c r="D51" s="83">
        <v>4962.06</v>
      </c>
      <c r="E51" s="83"/>
      <c r="F51" s="83">
        <f>G51-E51</f>
        <v>19162.12</v>
      </c>
      <c r="G51" s="83">
        <v>19162.12</v>
      </c>
      <c r="H51" s="84">
        <v>10772</v>
      </c>
      <c r="I51" s="70">
        <f>J51/G51</f>
        <v>0.3571734233999161</v>
      </c>
      <c r="J51" s="39">
        <v>6844.2</v>
      </c>
      <c r="K51" s="158">
        <f t="shared" si="5"/>
        <v>3360.5022</v>
      </c>
      <c r="L51" s="38">
        <f t="shared" si="4"/>
        <v>3483.6978</v>
      </c>
      <c r="M51" s="71">
        <f t="shared" si="3"/>
        <v>-3927.8</v>
      </c>
      <c r="N51" s="771"/>
      <c r="O51" s="766"/>
      <c r="P51" s="37"/>
    </row>
    <row r="52" spans="1:16" ht="16.5" customHeight="1">
      <c r="A52" s="85" t="s">
        <v>138</v>
      </c>
      <c r="B52" s="72" t="s">
        <v>139</v>
      </c>
      <c r="C52" s="67" t="s">
        <v>100</v>
      </c>
      <c r="D52" s="83">
        <v>848.18</v>
      </c>
      <c r="E52" s="83"/>
      <c r="F52" s="83">
        <v>0</v>
      </c>
      <c r="G52" s="83">
        <v>0</v>
      </c>
      <c r="H52" s="84">
        <v>848</v>
      </c>
      <c r="I52" s="70"/>
      <c r="J52" s="39">
        <f>648.5+692.8+16</f>
        <v>1357.3</v>
      </c>
      <c r="K52" s="158">
        <f t="shared" si="5"/>
        <v>666.4343</v>
      </c>
      <c r="L52" s="38">
        <f t="shared" si="4"/>
        <v>690.8657</v>
      </c>
      <c r="M52" s="71">
        <f t="shared" si="3"/>
        <v>509.29999999999995</v>
      </c>
      <c r="N52" s="772"/>
      <c r="O52" s="767"/>
      <c r="P52" s="37"/>
    </row>
    <row r="53" spans="1:16" ht="26.25" customHeight="1" thickBot="1">
      <c r="A53" s="86"/>
      <c r="B53" s="87" t="s">
        <v>140</v>
      </c>
      <c r="C53" s="88" t="s">
        <v>100</v>
      </c>
      <c r="D53" s="89">
        <f>D23+D26+D27+D46+D50</f>
        <v>291527.98</v>
      </c>
      <c r="E53" s="89">
        <f>E23+E26+E27+E46+E50</f>
        <v>121578.395</v>
      </c>
      <c r="F53" s="89">
        <f>F23+F26+F27+F46+F50</f>
        <v>199941.57</v>
      </c>
      <c r="G53" s="89">
        <f>G23+G26+G27+G46+G50</f>
        <v>321519.96499999997</v>
      </c>
      <c r="H53" s="89">
        <f>H23+H26+H27+H46+H50</f>
        <v>356809.19940000004</v>
      </c>
      <c r="I53" s="70">
        <f>J53/G53</f>
        <v>1.0867765303470347</v>
      </c>
      <c r="J53" s="89">
        <f>J23+J26+J27+J46+J50</f>
        <v>349420.352</v>
      </c>
      <c r="K53" s="89">
        <f>K23+K26+K27+K46+K50</f>
        <v>171565.392832</v>
      </c>
      <c r="L53" s="89">
        <f>L23+L26+L27+L46+L50</f>
        <v>177854.95916799997</v>
      </c>
      <c r="M53" s="71">
        <f t="shared" si="3"/>
        <v>-7388.847400000028</v>
      </c>
      <c r="N53" s="93">
        <f>K53*N21</f>
        <v>44967.718374749275</v>
      </c>
      <c r="O53" s="94">
        <f>N53*O21</f>
        <v>46832.97933293387</v>
      </c>
      <c r="P53" s="95"/>
    </row>
    <row r="54" spans="1:16" ht="30" customHeight="1" thickBot="1">
      <c r="A54" s="768" t="s">
        <v>141</v>
      </c>
      <c r="B54" s="769"/>
      <c r="C54" s="769"/>
      <c r="D54" s="62"/>
      <c r="E54" s="62"/>
      <c r="F54" s="62"/>
      <c r="G54" s="62"/>
      <c r="H54" s="62"/>
      <c r="I54" s="63"/>
      <c r="J54" s="64"/>
      <c r="K54" s="64"/>
      <c r="L54" s="64"/>
      <c r="M54" s="96"/>
      <c r="N54" s="97"/>
      <c r="O54" s="98"/>
      <c r="P54" s="99"/>
    </row>
    <row r="55" spans="1:16" ht="19.5" customHeight="1">
      <c r="A55" s="100" t="s">
        <v>46</v>
      </c>
      <c r="B55" s="101" t="s">
        <v>142</v>
      </c>
      <c r="C55" s="102" t="s">
        <v>100</v>
      </c>
      <c r="D55" s="103"/>
      <c r="E55" s="103"/>
      <c r="F55" s="103">
        <v>0</v>
      </c>
      <c r="G55" s="38">
        <v>3260.2</v>
      </c>
      <c r="H55" s="104">
        <v>3319.8</v>
      </c>
      <c r="I55" s="70">
        <f>J55/G55</f>
        <v>1.5329120912827436</v>
      </c>
      <c r="J55" s="39">
        <v>4997.6</v>
      </c>
      <c r="K55" s="158">
        <f aca="true" t="shared" si="7" ref="K55:K71">J55*0.491</f>
        <v>2453.8216</v>
      </c>
      <c r="L55" s="38">
        <f>J55-K55</f>
        <v>2543.7784</v>
      </c>
      <c r="M55" s="71">
        <f t="shared" si="3"/>
        <v>1677.8000000000002</v>
      </c>
      <c r="N55" s="105"/>
      <c r="O55" s="106"/>
      <c r="P55" s="26"/>
    </row>
    <row r="56" spans="1:16" ht="17.25" customHeight="1">
      <c r="A56" s="100" t="s">
        <v>47</v>
      </c>
      <c r="B56" s="101" t="s">
        <v>143</v>
      </c>
      <c r="C56" s="102" t="s">
        <v>100</v>
      </c>
      <c r="D56" s="107">
        <v>3354</v>
      </c>
      <c r="E56" s="107"/>
      <c r="F56" s="107">
        <f>G56-E56</f>
        <v>3548.64</v>
      </c>
      <c r="G56" s="38">
        <v>3548.64</v>
      </c>
      <c r="H56" s="108">
        <v>4171.699</v>
      </c>
      <c r="I56" s="70">
        <f>J56/G56</f>
        <v>1</v>
      </c>
      <c r="J56" s="39">
        <f>G56</f>
        <v>3548.64</v>
      </c>
      <c r="K56" s="158">
        <f t="shared" si="7"/>
        <v>1742.38224</v>
      </c>
      <c r="L56" s="38">
        <f>J56-K56</f>
        <v>1806.25776</v>
      </c>
      <c r="M56" s="71">
        <f t="shared" si="3"/>
        <v>-623.0589999999997</v>
      </c>
      <c r="N56" s="107"/>
      <c r="O56" s="109"/>
      <c r="P56" s="37"/>
    </row>
    <row r="57" spans="1:16" ht="17.25" customHeight="1">
      <c r="A57" s="100" t="s">
        <v>48</v>
      </c>
      <c r="B57" s="101" t="s">
        <v>144</v>
      </c>
      <c r="C57" s="102" t="s">
        <v>100</v>
      </c>
      <c r="D57" s="107"/>
      <c r="E57" s="107"/>
      <c r="F57" s="107">
        <f>G57-E57</f>
        <v>0</v>
      </c>
      <c r="G57" s="38">
        <v>0</v>
      </c>
      <c r="H57" s="108">
        <v>0</v>
      </c>
      <c r="I57" s="70"/>
      <c r="J57" s="39">
        <v>0</v>
      </c>
      <c r="K57" s="158">
        <f t="shared" si="7"/>
        <v>0</v>
      </c>
      <c r="L57" s="38">
        <f>J57-K57</f>
        <v>0</v>
      </c>
      <c r="M57" s="71">
        <f t="shared" si="3"/>
        <v>0</v>
      </c>
      <c r="N57" s="107"/>
      <c r="O57" s="109"/>
      <c r="P57" s="37"/>
    </row>
    <row r="58" spans="1:16" ht="17.25" customHeight="1">
      <c r="A58" s="100" t="s">
        <v>49</v>
      </c>
      <c r="B58" s="66" t="s">
        <v>145</v>
      </c>
      <c r="C58" s="67" t="s">
        <v>100</v>
      </c>
      <c r="D58" s="80">
        <f>82437.59+2993.9</f>
        <v>85431.48999999999</v>
      </c>
      <c r="E58" s="80"/>
      <c r="F58" s="107">
        <f>G58-E58</f>
        <v>77123</v>
      </c>
      <c r="G58" s="38">
        <v>77123</v>
      </c>
      <c r="H58" s="81">
        <v>77928.64</v>
      </c>
      <c r="I58" s="70">
        <f aca="true" t="shared" si="8" ref="I58:I74">J58/G58</f>
        <v>1.0447285504972577</v>
      </c>
      <c r="J58" s="39">
        <v>80572.6</v>
      </c>
      <c r="K58" s="158">
        <f t="shared" si="7"/>
        <v>39561.1466</v>
      </c>
      <c r="L58" s="38">
        <f>J58-K58</f>
        <v>41011.453400000006</v>
      </c>
      <c r="M58" s="71">
        <f t="shared" si="3"/>
        <v>2643.9600000000064</v>
      </c>
      <c r="N58" s="80"/>
      <c r="O58" s="110"/>
      <c r="P58" s="37"/>
    </row>
    <row r="59" spans="1:16" ht="22.5" customHeight="1">
      <c r="A59" s="100" t="s">
        <v>146</v>
      </c>
      <c r="B59" s="66" t="s">
        <v>147</v>
      </c>
      <c r="C59" s="67" t="s">
        <v>100</v>
      </c>
      <c r="D59" s="111">
        <f>SUM(D60:D62)</f>
        <v>8808.710000000001</v>
      </c>
      <c r="E59" s="111">
        <f>SUM(E60:E62)</f>
        <v>0</v>
      </c>
      <c r="F59" s="111">
        <f>SUM(F60:F62)</f>
        <v>10860.93</v>
      </c>
      <c r="G59" s="111">
        <f>SUM(G60:G62)</f>
        <v>10860.93</v>
      </c>
      <c r="H59" s="112">
        <f>SUM(H60:H62)</f>
        <v>9958.289999999999</v>
      </c>
      <c r="I59" s="70">
        <f t="shared" si="8"/>
        <v>0.8969858014000642</v>
      </c>
      <c r="J59" s="112">
        <f>J60+J61+J62</f>
        <v>9742.1</v>
      </c>
      <c r="K59" s="112">
        <f>K60+K61+K62</f>
        <v>4783.3711</v>
      </c>
      <c r="L59" s="112">
        <f>L60+L61+L62</f>
        <v>4958.7289</v>
      </c>
      <c r="M59" s="71">
        <f t="shared" si="3"/>
        <v>-216.1899999999987</v>
      </c>
      <c r="N59" s="111">
        <f>SUM(N60:N62)</f>
        <v>0</v>
      </c>
      <c r="O59" s="113">
        <f>SUM(O60:O62)</f>
        <v>0</v>
      </c>
      <c r="P59" s="37"/>
    </row>
    <row r="60" spans="1:16" ht="18" customHeight="1">
      <c r="A60" s="65" t="s">
        <v>148</v>
      </c>
      <c r="B60" s="114" t="s">
        <v>22</v>
      </c>
      <c r="C60" s="67" t="s">
        <v>100</v>
      </c>
      <c r="D60" s="115">
        <v>531.33</v>
      </c>
      <c r="E60" s="38"/>
      <c r="F60" s="115">
        <f>G60-E60</f>
        <v>3483</v>
      </c>
      <c r="G60" s="38">
        <v>3483</v>
      </c>
      <c r="H60" s="116">
        <v>1237.57</v>
      </c>
      <c r="I60" s="70">
        <f t="shared" si="8"/>
        <v>0.3701119724375538</v>
      </c>
      <c r="J60" s="39">
        <f>657.9+631.2</f>
        <v>1289.1</v>
      </c>
      <c r="K60" s="158">
        <f t="shared" si="7"/>
        <v>632.9481</v>
      </c>
      <c r="L60" s="38">
        <f>J60-K60</f>
        <v>656.1519</v>
      </c>
      <c r="M60" s="71">
        <f t="shared" si="3"/>
        <v>51.52999999999997</v>
      </c>
      <c r="N60" s="115"/>
      <c r="O60" s="117"/>
      <c r="P60" s="37"/>
    </row>
    <row r="61" spans="1:16" ht="18" customHeight="1">
      <c r="A61" s="65" t="s">
        <v>149</v>
      </c>
      <c r="B61" s="118" t="s">
        <v>38</v>
      </c>
      <c r="C61" s="67" t="s">
        <v>100</v>
      </c>
      <c r="D61" s="115">
        <v>7859.52</v>
      </c>
      <c r="E61" s="38"/>
      <c r="F61" s="115">
        <f>G61-E61</f>
        <v>5905.55</v>
      </c>
      <c r="G61" s="38">
        <v>5905.55</v>
      </c>
      <c r="H61" s="116">
        <v>8045.42</v>
      </c>
      <c r="I61" s="70">
        <f t="shared" si="8"/>
        <v>1.308260873246353</v>
      </c>
      <c r="J61" s="39">
        <v>7726</v>
      </c>
      <c r="K61" s="158">
        <f t="shared" si="7"/>
        <v>3793.466</v>
      </c>
      <c r="L61" s="38">
        <f>J61-K61</f>
        <v>3932.534</v>
      </c>
      <c r="M61" s="71">
        <f t="shared" si="3"/>
        <v>-319.4200000000001</v>
      </c>
      <c r="N61" s="115"/>
      <c r="O61" s="117"/>
      <c r="P61" s="37"/>
    </row>
    <row r="62" spans="1:16" ht="18" customHeight="1">
      <c r="A62" s="65" t="s">
        <v>150</v>
      </c>
      <c r="B62" s="114" t="s">
        <v>151</v>
      </c>
      <c r="C62" s="67" t="s">
        <v>100</v>
      </c>
      <c r="D62" s="115">
        <f>87.2+330.66</f>
        <v>417.86</v>
      </c>
      <c r="E62" s="38"/>
      <c r="F62" s="115">
        <f>G62-E62</f>
        <v>1472.38</v>
      </c>
      <c r="G62" s="38">
        <v>1472.38</v>
      </c>
      <c r="H62" s="116">
        <f>422.9+252.4</f>
        <v>675.3</v>
      </c>
      <c r="I62" s="70">
        <f t="shared" si="8"/>
        <v>0.49375840475964083</v>
      </c>
      <c r="J62" s="39">
        <f>265+462</f>
        <v>727</v>
      </c>
      <c r="K62" s="158">
        <f t="shared" si="7"/>
        <v>356.957</v>
      </c>
      <c r="L62" s="38">
        <f>J62-K62</f>
        <v>370.043</v>
      </c>
      <c r="M62" s="71">
        <f t="shared" si="3"/>
        <v>51.700000000000045</v>
      </c>
      <c r="N62" s="115"/>
      <c r="O62" s="117"/>
      <c r="P62" s="37"/>
    </row>
    <row r="63" spans="1:16" ht="19.5" customHeight="1">
      <c r="A63" s="65" t="s">
        <v>152</v>
      </c>
      <c r="B63" s="101" t="s">
        <v>153</v>
      </c>
      <c r="C63" s="67" t="s">
        <v>100</v>
      </c>
      <c r="D63" s="115">
        <v>35000</v>
      </c>
      <c r="E63" s="115">
        <v>23048.23</v>
      </c>
      <c r="F63" s="115">
        <f>G63-E63</f>
        <v>24723.77</v>
      </c>
      <c r="G63" s="38">
        <v>47772</v>
      </c>
      <c r="H63" s="116">
        <v>70133.31</v>
      </c>
      <c r="I63" s="70">
        <f t="shared" si="8"/>
        <v>1.3175898015573977</v>
      </c>
      <c r="J63" s="39">
        <v>62943.9</v>
      </c>
      <c r="K63" s="158">
        <f t="shared" si="7"/>
        <v>30905.4549</v>
      </c>
      <c r="L63" s="38">
        <f>J63-K63</f>
        <v>32038.4451</v>
      </c>
      <c r="M63" s="71">
        <f t="shared" si="3"/>
        <v>-7189.409999999996</v>
      </c>
      <c r="N63" s="115"/>
      <c r="O63" s="117"/>
      <c r="P63" s="37"/>
    </row>
    <row r="64" spans="1:16" ht="18.75" customHeight="1">
      <c r="A64" s="65" t="s">
        <v>154</v>
      </c>
      <c r="B64" s="101" t="s">
        <v>155</v>
      </c>
      <c r="C64" s="67" t="s">
        <v>100</v>
      </c>
      <c r="D64" s="115"/>
      <c r="E64" s="38"/>
      <c r="F64" s="117">
        <f>G64-E64</f>
        <v>0</v>
      </c>
      <c r="G64" s="38">
        <v>0</v>
      </c>
      <c r="H64" s="116">
        <v>0</v>
      </c>
      <c r="I64" s="70"/>
      <c r="J64" s="39">
        <v>0</v>
      </c>
      <c r="K64" s="158">
        <f t="shared" si="7"/>
        <v>0</v>
      </c>
      <c r="L64" s="38">
        <f>J64-K64</f>
        <v>0</v>
      </c>
      <c r="M64" s="71">
        <f t="shared" si="3"/>
        <v>0</v>
      </c>
      <c r="N64" s="115"/>
      <c r="O64" s="117"/>
      <c r="P64" s="37"/>
    </row>
    <row r="65" spans="1:16" ht="18.75" customHeight="1">
      <c r="A65" s="65" t="s">
        <v>156</v>
      </c>
      <c r="B65" s="101" t="s">
        <v>59</v>
      </c>
      <c r="C65" s="67" t="s">
        <v>100</v>
      </c>
      <c r="D65" s="111">
        <f>(D50+D69+D70+D71+D72+D73)/0.8*0.2</f>
        <v>23056.0425</v>
      </c>
      <c r="E65" s="111">
        <f>(E50+E69+E70+E71+E72+E73)/0.8*0.2</f>
        <v>0</v>
      </c>
      <c r="F65" s="111">
        <f>(F50+F69+F70+F71+F72+F73)/0.8*0.2</f>
        <v>9790.529999999999</v>
      </c>
      <c r="G65" s="111">
        <v>23249.63</v>
      </c>
      <c r="H65" s="112">
        <f>(H50+H69+H70+H71+H72+H73)/0.8*0.2</f>
        <v>53591.68392000004</v>
      </c>
      <c r="I65" s="70">
        <f t="shared" si="8"/>
        <v>2.2032600776872564</v>
      </c>
      <c r="J65" s="112">
        <f>(J50+J69+J70+J71+J72+J73)/0.8*0.2</f>
        <v>51224.98159999997</v>
      </c>
      <c r="K65" s="119">
        <f>(K50+K69+K70+K71+K72+K73)/0.8*0.2</f>
        <v>25151.465965599986</v>
      </c>
      <c r="L65" s="119">
        <f>(L50+L69+L70+L71+L72+L73)/0.8*0.2</f>
        <v>26073.515634399984</v>
      </c>
      <c r="M65" s="71">
        <f t="shared" si="3"/>
        <v>-2366.7023200000694</v>
      </c>
      <c r="N65" s="119">
        <f>(K50*N21+N69+N70+N71+N72+N73)/0.8*0.2</f>
        <v>263.8675309978124</v>
      </c>
      <c r="O65" s="113">
        <f>(K50*N21*O21+O69+O70+O71+O72+O73)/0.8*0.2</f>
        <v>274.81275618360166</v>
      </c>
      <c r="P65" s="37"/>
    </row>
    <row r="66" spans="1:16" ht="23.25" customHeight="1">
      <c r="A66" s="65" t="s">
        <v>157</v>
      </c>
      <c r="B66" s="101" t="s">
        <v>158</v>
      </c>
      <c r="C66" s="67" t="s">
        <v>100</v>
      </c>
      <c r="D66" s="80">
        <v>0</v>
      </c>
      <c r="E66" s="80"/>
      <c r="F66" s="80">
        <v>0</v>
      </c>
      <c r="G66" s="80">
        <v>0</v>
      </c>
      <c r="H66" s="81">
        <v>0</v>
      </c>
      <c r="I66" s="70"/>
      <c r="J66" s="81">
        <v>0</v>
      </c>
      <c r="K66" s="158">
        <f t="shared" si="7"/>
        <v>0</v>
      </c>
      <c r="L66" s="38">
        <f>J66-K66</f>
        <v>0</v>
      </c>
      <c r="M66" s="71">
        <f t="shared" si="3"/>
        <v>0</v>
      </c>
      <c r="N66" s="80"/>
      <c r="O66" s="110"/>
      <c r="P66" s="37"/>
    </row>
    <row r="67" spans="1:16" ht="21" customHeight="1">
      <c r="A67" s="65" t="s">
        <v>159</v>
      </c>
      <c r="B67" s="101" t="s">
        <v>160</v>
      </c>
      <c r="C67" s="67" t="s">
        <v>100</v>
      </c>
      <c r="D67" s="80">
        <v>39506.67</v>
      </c>
      <c r="E67" s="80"/>
      <c r="F67" s="80">
        <f>G67-E67</f>
        <v>46720.23</v>
      </c>
      <c r="G67" s="80">
        <v>46720.23</v>
      </c>
      <c r="H67" s="81">
        <v>59096.62</v>
      </c>
      <c r="I67" s="70">
        <f t="shared" si="8"/>
        <v>1.0376532821007087</v>
      </c>
      <c r="J67" s="81">
        <v>48479.4</v>
      </c>
      <c r="K67" s="158">
        <f t="shared" si="7"/>
        <v>23803.3854</v>
      </c>
      <c r="L67" s="38">
        <f>J67-K67</f>
        <v>24676.014600000002</v>
      </c>
      <c r="M67" s="71">
        <f t="shared" si="3"/>
        <v>-10617.220000000001</v>
      </c>
      <c r="N67" s="80"/>
      <c r="O67" s="110"/>
      <c r="P67" s="37"/>
    </row>
    <row r="68" spans="1:16" ht="18.75" customHeight="1">
      <c r="A68" s="65" t="s">
        <v>161</v>
      </c>
      <c r="B68" s="101" t="s">
        <v>162</v>
      </c>
      <c r="C68" s="67" t="s">
        <v>100</v>
      </c>
      <c r="D68" s="80">
        <v>18654.5</v>
      </c>
      <c r="E68" s="80"/>
      <c r="F68" s="80">
        <f>G68-E68</f>
        <v>26720.230000000003</v>
      </c>
      <c r="G68" s="80">
        <f>G67-20000</f>
        <v>26720.230000000003</v>
      </c>
      <c r="H68" s="81">
        <f>H67-20000</f>
        <v>39096.62</v>
      </c>
      <c r="I68" s="70">
        <f t="shared" si="8"/>
        <v>1.0658366338912502</v>
      </c>
      <c r="J68" s="81">
        <f>J67-20000</f>
        <v>28479.4</v>
      </c>
      <c r="K68" s="158">
        <f t="shared" si="7"/>
        <v>13983.385400000001</v>
      </c>
      <c r="L68" s="38">
        <f>J68-K68</f>
        <v>14496.0146</v>
      </c>
      <c r="M68" s="71">
        <f t="shared" si="3"/>
        <v>-10617.220000000001</v>
      </c>
      <c r="N68" s="80"/>
      <c r="O68" s="110"/>
      <c r="P68" s="37"/>
    </row>
    <row r="69" spans="1:16" ht="24" customHeight="1">
      <c r="A69" s="65" t="s">
        <v>163</v>
      </c>
      <c r="B69" s="101" t="s">
        <v>164</v>
      </c>
      <c r="C69" s="67" t="s">
        <v>100</v>
      </c>
      <c r="D69" s="111">
        <f>D67-D68</f>
        <v>20852.17</v>
      </c>
      <c r="E69" s="111">
        <f>E67-E68</f>
        <v>0</v>
      </c>
      <c r="F69" s="111">
        <f>F67-F68</f>
        <v>20000</v>
      </c>
      <c r="G69" s="111">
        <f>G67-G68</f>
        <v>20000</v>
      </c>
      <c r="H69" s="112">
        <f>H67-H68</f>
        <v>20000</v>
      </c>
      <c r="I69" s="70">
        <f t="shared" si="8"/>
        <v>1</v>
      </c>
      <c r="J69" s="112">
        <f>J67-J68</f>
        <v>20000</v>
      </c>
      <c r="K69" s="112">
        <f>K67-K68</f>
        <v>9819.999999999998</v>
      </c>
      <c r="L69" s="112">
        <f>L67-L68</f>
        <v>10180.000000000002</v>
      </c>
      <c r="M69" s="71">
        <f t="shared" si="3"/>
        <v>0</v>
      </c>
      <c r="N69" s="111">
        <f>N67-N68</f>
        <v>0</v>
      </c>
      <c r="O69" s="113">
        <f>O67-O68</f>
        <v>0</v>
      </c>
      <c r="P69" s="74"/>
    </row>
    <row r="70" spans="1:16" ht="18.75" customHeight="1">
      <c r="A70" s="65" t="s">
        <v>165</v>
      </c>
      <c r="B70" s="101" t="s">
        <v>166</v>
      </c>
      <c r="C70" s="67" t="s">
        <v>100</v>
      </c>
      <c r="D70" s="80"/>
      <c r="E70" s="80">
        <v>0</v>
      </c>
      <c r="F70" s="80">
        <v>0</v>
      </c>
      <c r="G70" s="80">
        <v>15496.06</v>
      </c>
      <c r="H70" s="81"/>
      <c r="I70" s="70">
        <f t="shared" si="8"/>
        <v>0</v>
      </c>
      <c r="J70" s="81">
        <v>0</v>
      </c>
      <c r="K70" s="158">
        <f t="shared" si="7"/>
        <v>0</v>
      </c>
      <c r="L70" s="38">
        <f>J70-K70</f>
        <v>0</v>
      </c>
      <c r="M70" s="71">
        <f t="shared" si="3"/>
        <v>0</v>
      </c>
      <c r="N70" s="80"/>
      <c r="O70" s="110"/>
      <c r="P70" s="37"/>
    </row>
    <row r="71" spans="1:16" ht="18.75" customHeight="1">
      <c r="A71" s="65" t="s">
        <v>167</v>
      </c>
      <c r="B71" s="101" t="s">
        <v>168</v>
      </c>
      <c r="C71" s="67" t="s">
        <v>100</v>
      </c>
      <c r="D71" s="80">
        <v>65561.76</v>
      </c>
      <c r="E71" s="80">
        <v>0</v>
      </c>
      <c r="F71" s="80">
        <v>0</v>
      </c>
      <c r="G71" s="80">
        <v>42769.77</v>
      </c>
      <c r="H71" s="81">
        <v>182746.73568000016</v>
      </c>
      <c r="I71" s="70">
        <f t="shared" si="8"/>
        <v>4.1313859391808725</v>
      </c>
      <c r="J71" s="81">
        <v>176698.42639999988</v>
      </c>
      <c r="K71" s="158">
        <f t="shared" si="7"/>
        <v>86758.92736239995</v>
      </c>
      <c r="L71" s="38">
        <f>J71-K71</f>
        <v>89939.49903759993</v>
      </c>
      <c r="M71" s="71">
        <f t="shared" si="3"/>
        <v>-6048.309280000278</v>
      </c>
      <c r="N71" s="80"/>
      <c r="O71" s="110"/>
      <c r="P71" s="37"/>
    </row>
    <row r="72" spans="1:16" ht="18.75" customHeight="1">
      <c r="A72" s="85" t="s">
        <v>169</v>
      </c>
      <c r="B72" s="120" t="s">
        <v>170</v>
      </c>
      <c r="C72" s="67" t="s">
        <v>100</v>
      </c>
      <c r="D72" s="121">
        <v>0</v>
      </c>
      <c r="E72" s="121">
        <v>0</v>
      </c>
      <c r="F72" s="121">
        <v>0</v>
      </c>
      <c r="G72" s="121">
        <v>0</v>
      </c>
      <c r="H72" s="122">
        <v>0</v>
      </c>
      <c r="I72" s="70"/>
      <c r="J72" s="122"/>
      <c r="K72" s="121"/>
      <c r="L72" s="121"/>
      <c r="M72" s="71">
        <f t="shared" si="3"/>
        <v>0</v>
      </c>
      <c r="N72" s="121"/>
      <c r="O72" s="124"/>
      <c r="P72" s="37"/>
    </row>
    <row r="73" spans="1:16" ht="18.75" customHeight="1">
      <c r="A73" s="85" t="s">
        <v>171</v>
      </c>
      <c r="B73" s="120" t="s">
        <v>172</v>
      </c>
      <c r="C73" s="67" t="s">
        <v>100</v>
      </c>
      <c r="D73" s="121">
        <v>0</v>
      </c>
      <c r="E73" s="121">
        <v>0</v>
      </c>
      <c r="F73" s="121">
        <v>0</v>
      </c>
      <c r="G73" s="121">
        <v>0</v>
      </c>
      <c r="H73" s="122">
        <v>0</v>
      </c>
      <c r="I73" s="70"/>
      <c r="J73" s="122"/>
      <c r="K73" s="121"/>
      <c r="L73" s="121"/>
      <c r="M73" s="71">
        <f t="shared" si="3"/>
        <v>0</v>
      </c>
      <c r="N73" s="121"/>
      <c r="O73" s="124"/>
      <c r="P73" s="37"/>
    </row>
    <row r="74" spans="1:16" ht="26.25" customHeight="1" thickBot="1">
      <c r="A74" s="125"/>
      <c r="B74" s="87" t="s">
        <v>173</v>
      </c>
      <c r="C74" s="88" t="s">
        <v>100</v>
      </c>
      <c r="D74" s="89">
        <f>D55+D56+D57+D58+D59+D63+D64+D65+D66+D67+D70+D71+D72+D73</f>
        <v>260718.67250000004</v>
      </c>
      <c r="E74" s="89">
        <f>E55+E56+E57+E58+E59+E63+E64+E65+E66+E67+E70+E71+E72+E73</f>
        <v>23048.23</v>
      </c>
      <c r="F74" s="89">
        <f>F55+F56+F57+F58+F59+F63+F64+F65+F66+F67+F70+F71+F72+F73</f>
        <v>172767.1</v>
      </c>
      <c r="G74" s="89">
        <f>G55+G56+G57+G58+G59+G63+G64+G65+G66+G67+G70+G71+G72+G73</f>
        <v>270800.46</v>
      </c>
      <c r="H74" s="89">
        <f>H55+H56+H57+H58+H59+H63+H64+H65+H66+H67+H70+H71+H72+H73</f>
        <v>460946.7786000002</v>
      </c>
      <c r="I74" s="70">
        <f t="shared" si="8"/>
        <v>1.6181938834225018</v>
      </c>
      <c r="J74" s="89">
        <f>J55+J56+J57+J58+J59+J63+J64+J65+J66+J67+J70+J71+J72+J73</f>
        <v>438207.64799999987</v>
      </c>
      <c r="K74" s="89">
        <f>K55+K56+K57+K58+K59+K63+K64+K65+K66+K67+K70+K71+K72+K73</f>
        <v>215159.95516799993</v>
      </c>
      <c r="L74" s="89">
        <f>L55+L56+L57+L58+L59+L63+L64+L65+L66+L67+L70+L71+L72+L73</f>
        <v>223047.6928319999</v>
      </c>
      <c r="M74" s="71">
        <f t="shared" si="3"/>
        <v>-22739.130600000324</v>
      </c>
      <c r="N74" s="89">
        <f>N55+N56+N57+N58+N59+N63+N64+N65+N66+N67+N70+N71+N72+N73</f>
        <v>263.8675309978124</v>
      </c>
      <c r="O74" s="126">
        <f>O55+O56+O57+O58+O59+O63+O64+O65+O66+O67+O70+O71+O72+O73</f>
        <v>274.81275618360166</v>
      </c>
      <c r="P74" s="95"/>
    </row>
    <row r="75" spans="1:16" ht="27" customHeight="1" thickBot="1">
      <c r="A75" s="753" t="s">
        <v>174</v>
      </c>
      <c r="B75" s="754"/>
      <c r="C75" s="754"/>
      <c r="D75" s="127"/>
      <c r="E75" s="127"/>
      <c r="F75" s="127"/>
      <c r="G75" s="127"/>
      <c r="H75" s="127"/>
      <c r="I75" s="128"/>
      <c r="J75" s="129"/>
      <c r="K75" s="129"/>
      <c r="L75" s="129"/>
      <c r="M75" s="129"/>
      <c r="N75" s="127"/>
      <c r="O75" s="127"/>
      <c r="P75" s="130"/>
    </row>
    <row r="76" spans="1:16" ht="49.5" customHeight="1">
      <c r="A76" s="65" t="s">
        <v>51</v>
      </c>
      <c r="B76" s="101" t="s">
        <v>175</v>
      </c>
      <c r="C76" s="67" t="s">
        <v>100</v>
      </c>
      <c r="D76" s="80">
        <v>0</v>
      </c>
      <c r="E76" s="80"/>
      <c r="F76" s="80"/>
      <c r="G76" s="80">
        <v>0</v>
      </c>
      <c r="H76" s="80">
        <v>0</v>
      </c>
      <c r="I76" s="73" t="str">
        <f>IF(E76=0," ",H76/E76)</f>
        <v> </v>
      </c>
      <c r="J76" s="81">
        <v>0</v>
      </c>
      <c r="K76" s="80">
        <v>0</v>
      </c>
      <c r="L76" s="80">
        <v>0</v>
      </c>
      <c r="M76" s="75"/>
      <c r="N76" s="80"/>
      <c r="O76" s="110"/>
      <c r="P76" s="26"/>
    </row>
    <row r="77" spans="1:16" ht="23.25" customHeight="1">
      <c r="A77" s="65" t="s">
        <v>52</v>
      </c>
      <c r="B77" s="101" t="s">
        <v>176</v>
      </c>
      <c r="C77" s="67" t="s">
        <v>100</v>
      </c>
      <c r="D77" s="80">
        <v>0</v>
      </c>
      <c r="E77" s="80"/>
      <c r="F77" s="80"/>
      <c r="G77" s="80">
        <v>0</v>
      </c>
      <c r="H77" s="80">
        <v>0</v>
      </c>
      <c r="I77" s="73" t="str">
        <f>IF(E77=0," ",H77/E77)</f>
        <v> </v>
      </c>
      <c r="J77" s="81">
        <v>0</v>
      </c>
      <c r="K77" s="80">
        <v>0</v>
      </c>
      <c r="L77" s="80">
        <v>0</v>
      </c>
      <c r="M77" s="75"/>
      <c r="N77" s="80"/>
      <c r="O77" s="110"/>
      <c r="P77" s="37"/>
    </row>
    <row r="78" spans="1:16" ht="23.25" customHeight="1">
      <c r="A78" s="85" t="s">
        <v>53</v>
      </c>
      <c r="B78" s="101" t="s">
        <v>177</v>
      </c>
      <c r="C78" s="67" t="s">
        <v>100</v>
      </c>
      <c r="D78" s="121">
        <v>0</v>
      </c>
      <c r="E78" s="121"/>
      <c r="F78" s="121"/>
      <c r="G78" s="121">
        <v>0</v>
      </c>
      <c r="H78" s="121">
        <v>0</v>
      </c>
      <c r="I78" s="123"/>
      <c r="J78" s="122">
        <v>0</v>
      </c>
      <c r="K78" s="121">
        <v>0</v>
      </c>
      <c r="L78" s="121">
        <v>0</v>
      </c>
      <c r="M78" s="92"/>
      <c r="N78" s="80"/>
      <c r="O78" s="110"/>
      <c r="P78" s="37"/>
    </row>
    <row r="79" spans="1:16" ht="30.75" customHeight="1" thickBot="1">
      <c r="A79" s="125"/>
      <c r="B79" s="87" t="s">
        <v>178</v>
      </c>
      <c r="C79" s="88" t="s">
        <v>100</v>
      </c>
      <c r="D79" s="89">
        <f>D76+D77+D78</f>
        <v>0</v>
      </c>
      <c r="E79" s="89">
        <f>E76+E77+E78</f>
        <v>0</v>
      </c>
      <c r="F79" s="89">
        <f>F76+F77+F78</f>
        <v>0</v>
      </c>
      <c r="G79" s="89"/>
      <c r="H79" s="89">
        <f>H76+H77+H78</f>
        <v>0</v>
      </c>
      <c r="I79" s="90" t="str">
        <f>IF(E79=0," ",H79/E79)</f>
        <v> </v>
      </c>
      <c r="J79" s="131">
        <f>K79-H79</f>
        <v>0</v>
      </c>
      <c r="K79" s="89">
        <f>K76+K77+K78</f>
        <v>0</v>
      </c>
      <c r="L79" s="91">
        <f>L78+L77+L76</f>
        <v>0</v>
      </c>
      <c r="M79" s="92"/>
      <c r="N79" s="89">
        <f>N76+N77+N78</f>
        <v>0</v>
      </c>
      <c r="O79" s="126">
        <f>O76+O77+O78</f>
        <v>0</v>
      </c>
      <c r="P79" s="95"/>
    </row>
    <row r="80" spans="1:16" ht="30.75" customHeight="1">
      <c r="A80" s="132" t="s">
        <v>179</v>
      </c>
      <c r="B80" s="133" t="s">
        <v>180</v>
      </c>
      <c r="C80" s="134" t="s">
        <v>100</v>
      </c>
      <c r="D80" s="135">
        <f>D53+D74+D79</f>
        <v>552246.6525000001</v>
      </c>
      <c r="E80" s="135">
        <f>E53+E74+E79</f>
        <v>144626.625</v>
      </c>
      <c r="F80" s="135">
        <f>F53+F74+F79</f>
        <v>372708.67000000004</v>
      </c>
      <c r="G80" s="135">
        <f>G53+G74+G79</f>
        <v>592320.425</v>
      </c>
      <c r="H80" s="135">
        <f>H53+H74+H79</f>
        <v>817755.9780000002</v>
      </c>
      <c r="I80" s="123">
        <f>IF(E80=0," ",H80/E80)</f>
        <v>5.654256109481918</v>
      </c>
      <c r="J80" s="135">
        <f>J74+J53+J79</f>
        <v>787627.9999999999</v>
      </c>
      <c r="K80" s="135">
        <f>K74+K53+K79</f>
        <v>386725.34799999994</v>
      </c>
      <c r="L80" s="135">
        <f>L74+L53+L79</f>
        <v>400902.6519999999</v>
      </c>
      <c r="M80" s="92"/>
      <c r="N80" s="135">
        <f>N53+N74+N79</f>
        <v>45231.58590574709</v>
      </c>
      <c r="O80" s="136">
        <f>O53+O74+O79</f>
        <v>47107.79208911747</v>
      </c>
      <c r="P80" s="137"/>
    </row>
    <row r="81" spans="1:16" ht="23.25" customHeight="1">
      <c r="A81" s="138"/>
      <c r="B81" s="139" t="s">
        <v>181</v>
      </c>
      <c r="C81" s="138"/>
      <c r="D81" s="138"/>
      <c r="E81" s="138">
        <v>285744.98</v>
      </c>
      <c r="F81" s="140"/>
      <c r="G81" s="138"/>
      <c r="H81" s="139"/>
      <c r="I81" s="138"/>
      <c r="J81" s="139"/>
      <c r="K81" s="138"/>
      <c r="L81" s="138"/>
      <c r="M81" s="138"/>
      <c r="N81" s="138"/>
      <c r="O81" s="138"/>
      <c r="P81" s="37"/>
    </row>
    <row r="82" spans="1:16" ht="21" customHeight="1">
      <c r="A82" s="141"/>
      <c r="B82" s="141"/>
      <c r="C82" s="141"/>
      <c r="D82" s="142"/>
      <c r="E82" s="142"/>
      <c r="F82" s="142"/>
      <c r="G82" s="142"/>
      <c r="H82" s="143"/>
      <c r="I82" s="144"/>
      <c r="J82" s="143"/>
      <c r="K82" s="142"/>
      <c r="L82" s="142"/>
      <c r="M82" s="142"/>
      <c r="N82" s="142"/>
      <c r="O82" s="142"/>
      <c r="P82" s="37"/>
    </row>
    <row r="83" spans="1:16" ht="16.5" customHeight="1">
      <c r="A83" s="141"/>
      <c r="B83" s="141" t="s">
        <v>182</v>
      </c>
      <c r="C83" s="141" t="s">
        <v>183</v>
      </c>
      <c r="D83" s="142">
        <v>848.21</v>
      </c>
      <c r="E83" s="142">
        <v>445.94</v>
      </c>
      <c r="F83" s="142">
        <v>428.9</v>
      </c>
      <c r="G83" s="142">
        <v>874.84</v>
      </c>
      <c r="H83" s="143">
        <v>881.44</v>
      </c>
      <c r="I83" s="145">
        <v>0.0075442366604180616</v>
      </c>
      <c r="J83" s="143">
        <v>881.44</v>
      </c>
      <c r="K83" s="142">
        <v>449.16</v>
      </c>
      <c r="L83" s="142">
        <v>432.28</v>
      </c>
      <c r="M83" s="142"/>
      <c r="N83" s="142"/>
      <c r="O83" s="142"/>
      <c r="P83" s="37"/>
    </row>
    <row r="84" spans="1:16" ht="16.5" customHeight="1">
      <c r="A84" s="141"/>
      <c r="B84" s="141" t="s">
        <v>184</v>
      </c>
      <c r="C84" s="141" t="s">
        <v>185</v>
      </c>
      <c r="D84" s="142">
        <v>121.57</v>
      </c>
      <c r="E84" s="142">
        <v>127.58</v>
      </c>
      <c r="F84" s="142">
        <v>121.51</v>
      </c>
      <c r="G84" s="142">
        <v>124.55</v>
      </c>
      <c r="H84" s="143">
        <v>126.58</v>
      </c>
      <c r="I84" s="145">
        <v>0.016298675230831002</v>
      </c>
      <c r="J84" s="143">
        <v>126.58</v>
      </c>
      <c r="K84" s="142"/>
      <c r="L84" s="142"/>
      <c r="M84" s="142"/>
      <c r="N84" s="142"/>
      <c r="O84" s="142"/>
      <c r="P84" s="37"/>
    </row>
    <row r="85" spans="1:16" ht="16.5" customHeight="1">
      <c r="A85" s="141"/>
      <c r="B85" s="141" t="s">
        <v>186</v>
      </c>
      <c r="C85" s="141" t="s">
        <v>183</v>
      </c>
      <c r="D85" s="141">
        <v>75.09</v>
      </c>
      <c r="E85" s="141">
        <v>41.85</v>
      </c>
      <c r="F85" s="141">
        <v>40.26</v>
      </c>
      <c r="G85" s="141">
        <v>82.11</v>
      </c>
      <c r="H85" s="146">
        <v>82.11</v>
      </c>
      <c r="I85" s="145">
        <v>0</v>
      </c>
      <c r="J85" s="146">
        <v>82.11</v>
      </c>
      <c r="K85" s="141">
        <v>41.86</v>
      </c>
      <c r="L85" s="141">
        <v>40.25</v>
      </c>
      <c r="M85" s="141"/>
      <c r="N85" s="142"/>
      <c r="O85" s="142"/>
      <c r="P85" s="37"/>
    </row>
    <row r="86" spans="1:16" ht="16.5" customHeight="1">
      <c r="A86" s="141"/>
      <c r="B86" s="141" t="s">
        <v>187</v>
      </c>
      <c r="C86" s="141" t="s">
        <v>89</v>
      </c>
      <c r="D86" s="147">
        <v>0.08852760519211045</v>
      </c>
      <c r="E86" s="141">
        <v>0.09384670583486568</v>
      </c>
      <c r="F86" s="141">
        <v>0.09386803450687806</v>
      </c>
      <c r="G86" s="147">
        <v>0.09385716245256276</v>
      </c>
      <c r="H86" s="148">
        <v>0.0931543837357052</v>
      </c>
      <c r="I86" s="145"/>
      <c r="J86" s="148">
        <v>0.093215</v>
      </c>
      <c r="K86" s="141"/>
      <c r="L86" s="141"/>
      <c r="M86" s="141"/>
      <c r="N86" s="142"/>
      <c r="O86" s="142"/>
      <c r="P86" s="37"/>
    </row>
    <row r="87" spans="1:16" ht="16.5" customHeight="1">
      <c r="A87" s="141"/>
      <c r="B87" s="141" t="s">
        <v>188</v>
      </c>
      <c r="C87" s="141" t="s">
        <v>183</v>
      </c>
      <c r="D87" s="149">
        <v>773.12</v>
      </c>
      <c r="E87" s="149">
        <v>404.09</v>
      </c>
      <c r="F87" s="149">
        <v>388.64</v>
      </c>
      <c r="G87" s="149">
        <v>792.73</v>
      </c>
      <c r="H87" s="150">
        <v>799.33</v>
      </c>
      <c r="I87" s="145">
        <v>0.008325659430070942</v>
      </c>
      <c r="J87" s="150"/>
      <c r="K87" s="149"/>
      <c r="L87" s="149"/>
      <c r="M87" s="149"/>
      <c r="N87" s="149"/>
      <c r="O87" s="149"/>
      <c r="P87" s="37"/>
    </row>
    <row r="88" spans="1:16" ht="15.75" customHeight="1">
      <c r="A88" s="141"/>
      <c r="B88" s="141" t="s">
        <v>189</v>
      </c>
      <c r="C88" s="141" t="s">
        <v>183</v>
      </c>
      <c r="D88" s="155" t="s">
        <v>197</v>
      </c>
      <c r="E88" s="155"/>
      <c r="F88" s="155"/>
      <c r="G88" s="155" t="s">
        <v>197</v>
      </c>
      <c r="H88" s="156" t="s">
        <v>197</v>
      </c>
      <c r="I88" s="157" t="s">
        <v>197</v>
      </c>
      <c r="J88" s="156" t="s">
        <v>197</v>
      </c>
      <c r="K88" s="155" t="s">
        <v>197</v>
      </c>
      <c r="L88" s="155" t="s">
        <v>197</v>
      </c>
      <c r="M88" s="141"/>
      <c r="N88" s="142"/>
      <c r="O88" s="141"/>
      <c r="P88" s="37"/>
    </row>
    <row r="89" spans="1:16" ht="16.5" customHeight="1">
      <c r="A89" s="141"/>
      <c r="B89" s="141" t="s">
        <v>190</v>
      </c>
      <c r="C89" s="141" t="s">
        <v>183</v>
      </c>
      <c r="D89" s="155" t="s">
        <v>197</v>
      </c>
      <c r="E89" s="155"/>
      <c r="F89" s="155"/>
      <c r="G89" s="155" t="s">
        <v>197</v>
      </c>
      <c r="H89" s="156" t="s">
        <v>197</v>
      </c>
      <c r="I89" s="157" t="s">
        <v>197</v>
      </c>
      <c r="J89" s="156" t="s">
        <v>197</v>
      </c>
      <c r="K89" s="155" t="s">
        <v>197</v>
      </c>
      <c r="L89" s="155" t="s">
        <v>197</v>
      </c>
      <c r="M89" s="141"/>
      <c r="N89" s="141"/>
      <c r="O89" s="141"/>
      <c r="P89" s="37"/>
    </row>
    <row r="90" spans="1:16" ht="16.5" customHeight="1">
      <c r="A90" s="141"/>
      <c r="B90" s="141" t="s">
        <v>191</v>
      </c>
      <c r="C90" s="141" t="s">
        <v>183</v>
      </c>
      <c r="D90" s="141">
        <v>773.12</v>
      </c>
      <c r="E90" s="141">
        <v>404.09</v>
      </c>
      <c r="F90" s="141">
        <v>388.64</v>
      </c>
      <c r="G90" s="141">
        <v>792.73</v>
      </c>
      <c r="H90" s="146">
        <v>799.33</v>
      </c>
      <c r="I90" s="145">
        <v>0.008325659430070942</v>
      </c>
      <c r="J90" s="146">
        <v>799.33</v>
      </c>
      <c r="K90" s="141">
        <v>407.3</v>
      </c>
      <c r="L90" s="141">
        <v>392.03</v>
      </c>
      <c r="M90" s="141"/>
      <c r="N90" s="141"/>
      <c r="O90" s="141"/>
      <c r="P90" s="37"/>
    </row>
    <row r="91" spans="1:16" ht="17.25" customHeight="1">
      <c r="A91" s="141"/>
      <c r="B91" s="141" t="s">
        <v>192</v>
      </c>
      <c r="C91" s="141" t="s">
        <v>183</v>
      </c>
      <c r="D91" s="155" t="s">
        <v>197</v>
      </c>
      <c r="E91" s="155"/>
      <c r="F91" s="155"/>
      <c r="G91" s="155" t="s">
        <v>197</v>
      </c>
      <c r="H91" s="156" t="s">
        <v>197</v>
      </c>
      <c r="I91" s="157" t="s">
        <v>197</v>
      </c>
      <c r="J91" s="156" t="s">
        <v>197</v>
      </c>
      <c r="K91" s="155" t="s">
        <v>197</v>
      </c>
      <c r="L91" s="155" t="s">
        <v>197</v>
      </c>
      <c r="M91" s="141"/>
      <c r="N91" s="141"/>
      <c r="O91" s="141"/>
      <c r="P91" s="37"/>
    </row>
    <row r="92" spans="1:16" ht="17.25" customHeight="1">
      <c r="A92" s="141"/>
      <c r="B92" s="141" t="s">
        <v>193</v>
      </c>
      <c r="C92" s="141" t="s">
        <v>194</v>
      </c>
      <c r="D92" s="141">
        <v>344</v>
      </c>
      <c r="E92" s="141"/>
      <c r="F92" s="141"/>
      <c r="G92" s="141">
        <v>344</v>
      </c>
      <c r="H92" s="146">
        <v>344</v>
      </c>
      <c r="I92" s="147">
        <v>0.01</v>
      </c>
      <c r="J92" s="146">
        <v>334</v>
      </c>
      <c r="K92" s="141">
        <v>334</v>
      </c>
      <c r="L92" s="141">
        <v>334</v>
      </c>
      <c r="M92" s="141"/>
      <c r="N92" s="141"/>
      <c r="O92" s="141"/>
      <c r="P92" s="37"/>
    </row>
    <row r="93" spans="1:16" ht="17.25" customHeight="1">
      <c r="A93" s="141"/>
      <c r="B93" s="141" t="s">
        <v>195</v>
      </c>
      <c r="C93" s="141" t="s">
        <v>196</v>
      </c>
      <c r="D93" s="151">
        <f>D26/D92/12*1000</f>
        <v>46537.18507751938</v>
      </c>
      <c r="E93" s="152"/>
      <c r="F93" s="152"/>
      <c r="G93" s="151">
        <f>G26/G92/12*1000</f>
        <v>49969.48764534884</v>
      </c>
      <c r="H93" s="153">
        <f>H26/H92/12*1000</f>
        <v>52917.48062015503</v>
      </c>
      <c r="I93" s="147"/>
      <c r="J93" s="146"/>
      <c r="K93" s="141"/>
      <c r="L93" s="141"/>
      <c r="M93" s="141"/>
      <c r="N93" s="141"/>
      <c r="O93" s="141"/>
      <c r="P93" s="37"/>
    </row>
  </sheetData>
  <sheetProtection/>
  <protectedRanges>
    <protectedRange password="CC71" sqref="D13:F13" name="Диапазон1"/>
  </protectedRanges>
  <mergeCells count="21">
    <mergeCell ref="O23:O52"/>
    <mergeCell ref="A54:C54"/>
    <mergeCell ref="N23:N52"/>
    <mergeCell ref="O7:O9"/>
    <mergeCell ref="A75:C75"/>
    <mergeCell ref="M8:M9"/>
    <mergeCell ref="A11:C11"/>
    <mergeCell ref="A22:C22"/>
    <mergeCell ref="E8:G8"/>
    <mergeCell ref="H8:H9"/>
    <mergeCell ref="J8:L8"/>
    <mergeCell ref="I8:I9"/>
    <mergeCell ref="A3:O3"/>
    <mergeCell ref="A4:O4"/>
    <mergeCell ref="A7:A9"/>
    <mergeCell ref="B7:B9"/>
    <mergeCell ref="C7:C9"/>
    <mergeCell ref="D7:D9"/>
    <mergeCell ref="E7:G7"/>
    <mergeCell ref="H7:M7"/>
    <mergeCell ref="N7:N9"/>
  </mergeCells>
  <dataValidations count="4">
    <dataValidation type="decimal" operator="lessThan" allowBlank="1" showInputMessage="1" showErrorMessage="1" errorTitle="Внимание" error="Расходы на капитальные вложения превышают 12% от НВВ" sqref="H71:H73 N71:O73 J71:J73 K72:L73">
      <formula1>H80*0.12</formula1>
    </dataValidation>
    <dataValidation type="decimal" allowBlank="1" showInputMessage="1" showErrorMessage="1" error="Ввведеное значение неверно" sqref="D26:H26">
      <formula1>-1000000000000000</formula1>
      <formula2>1000000000000000</formula2>
    </dataValidation>
    <dataValidation allowBlank="1" showInputMessage="1" showErrorMessage="1" errorTitle="Внимание" error="Допускается ввод только действительных чисел!" sqref="M76:M80 M12:M21 D13:F13 L79 I12:I21 D19:G20 K21 D21:H21 L19:L21"/>
    <dataValidation type="decimal" allowBlank="1" showInputMessage="1" showErrorMessage="1" errorTitle="Внимание" error="Допускается ввод только действительных чисел!" sqref="H70 O46 J55:J58 N60:O64 N55:O58 G13 J31:J45 N66:O70 N20:O20 N12:O18 D60:H64 J20:K20 J28:J29 H20 J51:J52 D14:G18 D12:G12 D31:H52 H12:H18 D66:H69 D70:G73 G25:H25 D25 J12:L18 D28:H29 J60:J64 J47:J49 D55:H58 J66:J70 K69:L69">
      <formula1>-999999999999999000000000</formula1>
      <formula2>9.99999999999999E+23</formula2>
    </dataValidation>
  </dataValidations>
  <printOptions/>
  <pageMargins left="0.2" right="0.2" top="0.3937007874015748" bottom="0.3937007874015748" header="0.5118110236220472" footer="0.5118110236220472"/>
  <pageSetup fitToHeight="3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workbookViewId="0" topLeftCell="C50">
      <selection activeCell="J18" sqref="J18"/>
    </sheetView>
  </sheetViews>
  <sheetFormatPr defaultColWidth="9.00390625" defaultRowHeight="12.75"/>
  <cols>
    <col min="1" max="2" width="0" style="160" hidden="1" customWidth="1"/>
    <col min="3" max="3" width="1.4921875" style="160" customWidth="1"/>
    <col min="4" max="4" width="7.125" style="160" customWidth="1"/>
    <col min="5" max="5" width="40.375" style="160" customWidth="1"/>
    <col min="6" max="6" width="10.50390625" style="160" customWidth="1"/>
    <col min="7" max="7" width="10.875" style="161" customWidth="1"/>
    <col min="8" max="8" width="10.00390625" style="161" customWidth="1"/>
    <col min="9" max="9" width="11.125" style="161" customWidth="1"/>
    <col min="10" max="10" width="11.625" style="161" customWidth="1"/>
    <col min="11" max="11" width="10.125" style="161" bestFit="1" customWidth="1"/>
    <col min="12" max="12" width="10.50390625" style="161" customWidth="1"/>
    <col min="13" max="16" width="12.625" style="161" hidden="1" customWidth="1"/>
    <col min="17" max="17" width="16.375" style="160" customWidth="1"/>
    <col min="18" max="16384" width="9.125" style="160" customWidth="1"/>
  </cols>
  <sheetData>
    <row r="1" ht="11.25" hidden="1">
      <c r="A1" s="159">
        <v>0</v>
      </c>
    </row>
    <row r="2" ht="11.25" hidden="1"/>
    <row r="4" spans="4:16" ht="24.75" customHeight="1" thickBot="1">
      <c r="D4" s="775" t="s">
        <v>198</v>
      </c>
      <c r="E4" s="776"/>
      <c r="F4" s="776"/>
      <c r="G4" s="776"/>
      <c r="H4" s="776"/>
      <c r="I4" s="776"/>
      <c r="J4" s="776"/>
      <c r="K4" s="776"/>
      <c r="L4" s="776"/>
      <c r="M4" s="776"/>
      <c r="N4" s="776"/>
      <c r="O4" s="776"/>
      <c r="P4" s="776"/>
    </row>
    <row r="5" spans="4:16" ht="23.25" customHeight="1">
      <c r="D5" s="163"/>
      <c r="E5" s="164"/>
      <c r="F5" s="165"/>
      <c r="G5" s="785" t="str">
        <f>'[1]Справочники'!$G$18</f>
        <v>ОАО "Городские электрические сети" г.Нижневартовск</v>
      </c>
      <c r="H5" s="786"/>
      <c r="I5" s="786"/>
      <c r="J5" s="786"/>
      <c r="K5" s="786"/>
      <c r="L5" s="786"/>
      <c r="M5" s="786"/>
      <c r="N5" s="786"/>
      <c r="O5" s="786"/>
      <c r="P5" s="787"/>
    </row>
    <row r="6" spans="4:16" ht="36" customHeight="1" thickBot="1">
      <c r="D6" s="166" t="s">
        <v>0</v>
      </c>
      <c r="E6" s="167" t="s">
        <v>1</v>
      </c>
      <c r="F6" s="168" t="s">
        <v>72</v>
      </c>
      <c r="G6" s="169" t="str">
        <f>IF('[1]Справочники'!$L$18="Индексация","2010(ИНД)","2010")</f>
        <v>2010</v>
      </c>
      <c r="H6" s="170" t="str">
        <f>IF('[1]Справочники'!$L$18="Индексация","2011(ИНД)","2011")</f>
        <v>2011</v>
      </c>
      <c r="I6" s="171" t="s">
        <v>200</v>
      </c>
      <c r="J6" s="171" t="s">
        <v>201</v>
      </c>
      <c r="K6" s="171">
        <v>2012</v>
      </c>
      <c r="L6" s="171" t="str">
        <f>IF('[1]Справочники'!$L$18="Индексация","2013(ИНД)","2013")</f>
        <v>2013</v>
      </c>
      <c r="M6" s="171" t="str">
        <f>IF('[1]Справочники'!$L$18="Индексация","2014(ИНД)","2014")</f>
        <v>2014</v>
      </c>
      <c r="N6" s="171" t="str">
        <f>IF('[1]Справочники'!$L$18="Индексация","2015(ИНД)","2015")</f>
        <v>2015</v>
      </c>
      <c r="O6" s="171" t="str">
        <f>IF('[1]Справочники'!$L$18="Индексация","2016(ИНД)","2016")</f>
        <v>2016</v>
      </c>
      <c r="P6" s="172" t="str">
        <f>IF('[1]Справочники'!$L$18="Индексация","2017(ИНД)","2017")</f>
        <v>2017</v>
      </c>
    </row>
    <row r="7" spans="4:16" ht="12" customHeight="1" thickBot="1">
      <c r="D7" s="788" t="s">
        <v>202</v>
      </c>
      <c r="E7" s="789"/>
      <c r="F7" s="173"/>
      <c r="G7" s="174"/>
      <c r="H7" s="175"/>
      <c r="I7" s="175"/>
      <c r="J7" s="175"/>
      <c r="K7" s="175"/>
      <c r="L7" s="175"/>
      <c r="M7" s="175"/>
      <c r="N7" s="175"/>
      <c r="O7" s="175"/>
      <c r="P7" s="176"/>
    </row>
    <row r="8" spans="4:16" ht="11.25">
      <c r="D8" s="178" t="s">
        <v>203</v>
      </c>
      <c r="E8" s="179" t="s">
        <v>88</v>
      </c>
      <c r="F8" s="180" t="s">
        <v>89</v>
      </c>
      <c r="G8" s="181">
        <v>0</v>
      </c>
      <c r="H8" s="182">
        <v>0.061</v>
      </c>
      <c r="I8" s="182">
        <v>0</v>
      </c>
      <c r="J8" s="182">
        <v>0</v>
      </c>
      <c r="K8" s="182">
        <v>0.051</v>
      </c>
      <c r="L8" s="182">
        <v>0.059</v>
      </c>
      <c r="M8" s="182">
        <v>0.052</v>
      </c>
      <c r="N8" s="182">
        <v>0.052</v>
      </c>
      <c r="O8" s="182">
        <v>0.052</v>
      </c>
      <c r="P8" s="183">
        <v>0.052</v>
      </c>
    </row>
    <row r="9" spans="4:16" ht="22.5">
      <c r="D9" s="178" t="s">
        <v>204</v>
      </c>
      <c r="E9" s="184" t="s">
        <v>90</v>
      </c>
      <c r="F9" s="185" t="s">
        <v>89</v>
      </c>
      <c r="G9" s="181">
        <v>0</v>
      </c>
      <c r="H9" s="182">
        <v>0.01</v>
      </c>
      <c r="I9" s="182">
        <v>0.01</v>
      </c>
      <c r="J9" s="182">
        <v>0.01</v>
      </c>
      <c r="K9" s="182">
        <v>0.01</v>
      </c>
      <c r="L9" s="182">
        <v>0.01</v>
      </c>
      <c r="M9" s="182">
        <v>0.01</v>
      </c>
      <c r="N9" s="182">
        <v>0.01</v>
      </c>
      <c r="O9" s="182">
        <v>0.01</v>
      </c>
      <c r="P9" s="183">
        <v>0.01</v>
      </c>
    </row>
    <row r="10" spans="4:16" ht="11.25">
      <c r="D10" s="178" t="s">
        <v>205</v>
      </c>
      <c r="E10" s="186" t="s">
        <v>92</v>
      </c>
      <c r="F10" s="185" t="s">
        <v>93</v>
      </c>
      <c r="G10" s="187">
        <f>SUM(G11:G14)</f>
        <v>11662</v>
      </c>
      <c r="H10" s="188">
        <f aca="true" t="shared" si="0" ref="H10:P10">SUM(H11:H14)</f>
        <v>12457.12</v>
      </c>
      <c r="I10" s="188">
        <f t="shared" si="0"/>
        <v>12742.502778306369</v>
      </c>
      <c r="J10" s="188">
        <f t="shared" si="0"/>
        <v>12742.502778306369</v>
      </c>
      <c r="K10" s="188">
        <f t="shared" si="0"/>
        <v>12742.502778306369</v>
      </c>
      <c r="L10" s="188">
        <f t="shared" si="0"/>
        <v>12943.604418298095</v>
      </c>
      <c r="M10" s="188">
        <f t="shared" si="0"/>
        <v>13131.327184949927</v>
      </c>
      <c r="N10" s="188">
        <f t="shared" si="0"/>
        <v>13208.78250790939</v>
      </c>
      <c r="O10" s="188">
        <f t="shared" si="0"/>
        <v>13286.960404190058</v>
      </c>
      <c r="P10" s="189">
        <f t="shared" si="0"/>
        <v>13247.347633487247</v>
      </c>
    </row>
    <row r="11" spans="4:16" ht="11.25">
      <c r="D11" s="178" t="s">
        <v>206</v>
      </c>
      <c r="E11" s="190" t="s">
        <v>13</v>
      </c>
      <c r="F11" s="191" t="s">
        <v>93</v>
      </c>
      <c r="G11" s="192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4">
        <v>0</v>
      </c>
    </row>
    <row r="12" spans="4:16" ht="11.25">
      <c r="D12" s="178" t="s">
        <v>207</v>
      </c>
      <c r="E12" s="190" t="s">
        <v>94</v>
      </c>
      <c r="F12" s="191" t="s">
        <v>93</v>
      </c>
      <c r="G12" s="192">
        <v>1696.49</v>
      </c>
      <c r="H12" s="193">
        <v>1696.49</v>
      </c>
      <c r="I12" s="193">
        <v>2066.679170377691</v>
      </c>
      <c r="J12" s="193">
        <v>2066.679170377691</v>
      </c>
      <c r="K12" s="193">
        <v>2066.679170377691</v>
      </c>
      <c r="L12" s="193">
        <v>2296.7377216123054</v>
      </c>
      <c r="M12" s="193">
        <v>2302.542435759996</v>
      </c>
      <c r="N12" s="193">
        <v>2299.6293268316194</v>
      </c>
      <c r="O12" s="193">
        <v>2296.7199179456284</v>
      </c>
      <c r="P12" s="194">
        <v>2273.474208946735</v>
      </c>
    </row>
    <row r="13" spans="4:16" ht="11.25">
      <c r="D13" s="178" t="s">
        <v>208</v>
      </c>
      <c r="E13" s="190" t="s">
        <v>95</v>
      </c>
      <c r="F13" s="191" t="s">
        <v>93</v>
      </c>
      <c r="G13" s="192">
        <v>8653.24</v>
      </c>
      <c r="H13" s="193">
        <v>9448.36</v>
      </c>
      <c r="I13" s="193">
        <v>9288.888573799079</v>
      </c>
      <c r="J13" s="193">
        <v>9288.888573799079</v>
      </c>
      <c r="K13" s="193">
        <v>9288.888573799079</v>
      </c>
      <c r="L13" s="193">
        <v>9268.190413976103</v>
      </c>
      <c r="M13" s="193">
        <v>9446.683489835388</v>
      </c>
      <c r="N13" s="193">
        <v>9528.835769729083</v>
      </c>
      <c r="O13" s="193">
        <v>9611.704352028108</v>
      </c>
      <c r="P13" s="194">
        <v>9609.32415689965</v>
      </c>
    </row>
    <row r="14" spans="4:16" ht="11.25">
      <c r="D14" s="178" t="s">
        <v>209</v>
      </c>
      <c r="E14" s="190" t="s">
        <v>17</v>
      </c>
      <c r="F14" s="191" t="s">
        <v>93</v>
      </c>
      <c r="G14" s="192">
        <v>1312.27</v>
      </c>
      <c r="H14" s="193">
        <v>1312.27</v>
      </c>
      <c r="I14" s="193">
        <v>1386.935034129599</v>
      </c>
      <c r="J14" s="193">
        <v>1386.935034129599</v>
      </c>
      <c r="K14" s="193">
        <v>1386.935034129599</v>
      </c>
      <c r="L14" s="193">
        <v>1378.676282709686</v>
      </c>
      <c r="M14" s="193">
        <v>1382.1012593545433</v>
      </c>
      <c r="N14" s="193">
        <v>1380.3174113486866</v>
      </c>
      <c r="O14" s="193">
        <v>1378.5361342163212</v>
      </c>
      <c r="P14" s="194">
        <v>1364.549267640864</v>
      </c>
    </row>
    <row r="15" spans="4:16" ht="23.25" thickBot="1">
      <c r="D15" s="195" t="s">
        <v>210</v>
      </c>
      <c r="E15" s="196" t="s">
        <v>211</v>
      </c>
      <c r="F15" s="197"/>
      <c r="G15" s="198">
        <v>0</v>
      </c>
      <c r="H15" s="199">
        <v>0.75</v>
      </c>
      <c r="I15" s="199">
        <v>0.75</v>
      </c>
      <c r="J15" s="199">
        <v>0.75</v>
      </c>
      <c r="K15" s="199">
        <v>0.75</v>
      </c>
      <c r="L15" s="199">
        <v>0.75</v>
      </c>
      <c r="M15" s="199">
        <v>0.75</v>
      </c>
      <c r="N15" s="199">
        <v>0.75</v>
      </c>
      <c r="O15" s="199">
        <v>0.75</v>
      </c>
      <c r="P15" s="200">
        <v>0.75</v>
      </c>
    </row>
    <row r="16" spans="4:16" ht="13.5" thickBot="1">
      <c r="D16" s="201" t="s">
        <v>212</v>
      </c>
      <c r="E16" s="202" t="s">
        <v>96</v>
      </c>
      <c r="F16" s="203" t="s">
        <v>89</v>
      </c>
      <c r="G16" s="204">
        <v>0</v>
      </c>
      <c r="H16" s="205">
        <f aca="true" t="shared" si="1" ref="H16:P16">IF(G10=0,0,(H10-G10)/G10*H15)</f>
        <v>0.051135311267364134</v>
      </c>
      <c r="I16" s="206">
        <v>0</v>
      </c>
      <c r="J16" s="206">
        <v>0</v>
      </c>
      <c r="K16" s="205">
        <f>IF(H10=0,0,(K10-H10)/H10*K15)</f>
        <v>0.01718190751391782</v>
      </c>
      <c r="L16" s="205">
        <f t="shared" si="1"/>
        <v>0.01183646828396778</v>
      </c>
      <c r="M16" s="205">
        <f t="shared" si="1"/>
        <v>0.010877346868685144</v>
      </c>
      <c r="N16" s="205">
        <f t="shared" si="1"/>
        <v>0.004423885826725604</v>
      </c>
      <c r="O16" s="205">
        <f t="shared" si="1"/>
        <v>0.0044389724923847</v>
      </c>
      <c r="P16" s="207">
        <f t="shared" si="1"/>
        <v>-0.002235995075121912</v>
      </c>
    </row>
    <row r="17" spans="4:16" ht="12" thickBot="1">
      <c r="D17" s="208" t="s">
        <v>213</v>
      </c>
      <c r="E17" s="209" t="s">
        <v>98</v>
      </c>
      <c r="F17" s="210"/>
      <c r="G17" s="211"/>
      <c r="H17" s="212">
        <f aca="true" t="shared" si="2" ref="H17:P17">(1+H8)*(1-H9)*(1+H16)</f>
        <v>1.1041020196021265</v>
      </c>
      <c r="I17" s="212">
        <f t="shared" si="2"/>
        <v>0.99</v>
      </c>
      <c r="J17" s="212">
        <f t="shared" si="2"/>
        <v>0.99</v>
      </c>
      <c r="K17" s="212">
        <f t="shared" si="2"/>
        <v>1.0583676029491564</v>
      </c>
      <c r="L17" s="212">
        <f t="shared" si="2"/>
        <v>1.0608194717135946</v>
      </c>
      <c r="M17" s="212">
        <f t="shared" si="2"/>
        <v>1.052808539216798</v>
      </c>
      <c r="N17" s="212">
        <f t="shared" si="2"/>
        <v>1.0460873886108182</v>
      </c>
      <c r="O17" s="212">
        <f t="shared" si="2"/>
        <v>1.0461031010713688</v>
      </c>
      <c r="P17" s="213">
        <f t="shared" si="2"/>
        <v>1.039151255849162</v>
      </c>
    </row>
    <row r="18" spans="4:17" ht="11.25">
      <c r="D18" s="214"/>
      <c r="E18" s="214"/>
      <c r="F18" s="214"/>
      <c r="Q18" s="177"/>
    </row>
    <row r="19" spans="4:16" ht="12" thickBot="1">
      <c r="D19" s="215" t="s">
        <v>214</v>
      </c>
      <c r="E19" s="216"/>
      <c r="F19" s="217"/>
      <c r="G19" s="218"/>
      <c r="H19" s="219"/>
      <c r="I19" s="219"/>
      <c r="J19" s="219"/>
      <c r="K19" s="219"/>
      <c r="L19" s="219"/>
      <c r="M19" s="220"/>
      <c r="N19" s="219"/>
      <c r="O19" s="219"/>
      <c r="P19" s="221"/>
    </row>
    <row r="20" spans="4:16" ht="11.25">
      <c r="D20" s="178" t="s">
        <v>3</v>
      </c>
      <c r="E20" s="222" t="s">
        <v>215</v>
      </c>
      <c r="F20" s="223" t="s">
        <v>216</v>
      </c>
      <c r="G20" s="224">
        <f>SUM(G21:G22)</f>
        <v>42662.4</v>
      </c>
      <c r="H20" s="225">
        <f>SUM(H21:H22)</f>
        <v>46032.7296</v>
      </c>
      <c r="I20" s="226"/>
      <c r="J20" s="226"/>
      <c r="K20" s="226"/>
      <c r="L20" s="226"/>
      <c r="M20" s="226"/>
      <c r="N20" s="226"/>
      <c r="O20" s="226"/>
      <c r="P20" s="227"/>
    </row>
    <row r="21" spans="4:16" ht="22.5">
      <c r="D21" s="228" t="s">
        <v>5</v>
      </c>
      <c r="E21" s="229" t="s">
        <v>217</v>
      </c>
      <c r="F21" s="230" t="s">
        <v>216</v>
      </c>
      <c r="G21" s="231">
        <v>38078.6</v>
      </c>
      <c r="H21" s="232">
        <v>41086.8094</v>
      </c>
      <c r="I21" s="233"/>
      <c r="J21" s="233"/>
      <c r="K21" s="233"/>
      <c r="L21" s="233"/>
      <c r="M21" s="233"/>
      <c r="N21" s="233"/>
      <c r="O21" s="233"/>
      <c r="P21" s="234"/>
    </row>
    <row r="22" spans="4:16" ht="45">
      <c r="D22" s="228" t="s">
        <v>7</v>
      </c>
      <c r="E22" s="229" t="s">
        <v>218</v>
      </c>
      <c r="F22" s="230" t="s">
        <v>216</v>
      </c>
      <c r="G22" s="231">
        <v>4583.8</v>
      </c>
      <c r="H22" s="232">
        <v>4945.9202</v>
      </c>
      <c r="I22" s="233"/>
      <c r="J22" s="233"/>
      <c r="K22" s="233"/>
      <c r="L22" s="233"/>
      <c r="M22" s="233"/>
      <c r="N22" s="233"/>
      <c r="O22" s="233"/>
      <c r="P22" s="234"/>
    </row>
    <row r="23" spans="4:16" ht="11.25">
      <c r="D23" s="228" t="s">
        <v>8</v>
      </c>
      <c r="E23" s="235" t="s">
        <v>104</v>
      </c>
      <c r="F23" s="230" t="s">
        <v>216</v>
      </c>
      <c r="G23" s="231">
        <v>176730</v>
      </c>
      <c r="H23" s="232">
        <v>192105.51</v>
      </c>
      <c r="I23" s="233"/>
      <c r="J23" s="233"/>
      <c r="K23" s="233"/>
      <c r="L23" s="233"/>
      <c r="M23" s="233"/>
      <c r="N23" s="233"/>
      <c r="O23" s="233"/>
      <c r="P23" s="234"/>
    </row>
    <row r="24" spans="4:16" ht="11.25">
      <c r="D24" s="228" t="s">
        <v>9</v>
      </c>
      <c r="E24" s="235" t="s">
        <v>219</v>
      </c>
      <c r="F24" s="230" t="s">
        <v>216</v>
      </c>
      <c r="G24" s="236">
        <f>G25+G26+G33+G34+G35+G36+G37</f>
        <v>29777.640000000003</v>
      </c>
      <c r="H24" s="237">
        <f>H25+H26+H33+H34+H35+H36+H37</f>
        <v>38697.6433944</v>
      </c>
      <c r="I24" s="238"/>
      <c r="J24" s="238"/>
      <c r="K24" s="238"/>
      <c r="L24" s="238"/>
      <c r="M24" s="238"/>
      <c r="N24" s="238"/>
      <c r="O24" s="238"/>
      <c r="P24" s="239"/>
    </row>
    <row r="25" spans="4:16" ht="11.25" customHeight="1">
      <c r="D25" s="228" t="s">
        <v>10</v>
      </c>
      <c r="E25" s="240" t="s">
        <v>21</v>
      </c>
      <c r="F25" s="230" t="s">
        <v>216</v>
      </c>
      <c r="G25" s="231">
        <v>0</v>
      </c>
      <c r="H25" s="232">
        <v>4947.26</v>
      </c>
      <c r="I25" s="233"/>
      <c r="J25" s="233"/>
      <c r="K25" s="233"/>
      <c r="L25" s="233"/>
      <c r="M25" s="233"/>
      <c r="N25" s="233"/>
      <c r="O25" s="233"/>
      <c r="P25" s="234"/>
    </row>
    <row r="26" spans="4:16" ht="11.25">
      <c r="D26" s="228" t="s">
        <v>11</v>
      </c>
      <c r="E26" s="241" t="s">
        <v>220</v>
      </c>
      <c r="F26" s="242" t="s">
        <v>216</v>
      </c>
      <c r="G26" s="243">
        <f>SUM(G27:G32)</f>
        <v>13059.74</v>
      </c>
      <c r="H26" s="244">
        <f>SUM(H27:H32)</f>
        <v>14091.45946</v>
      </c>
      <c r="I26" s="233"/>
      <c r="J26" s="233"/>
      <c r="K26" s="233"/>
      <c r="L26" s="233"/>
      <c r="M26" s="233"/>
      <c r="N26" s="233"/>
      <c r="O26" s="233"/>
      <c r="P26" s="234"/>
    </row>
    <row r="27" spans="4:16" ht="11.25">
      <c r="D27" s="228" t="s">
        <v>12</v>
      </c>
      <c r="E27" s="245" t="s">
        <v>221</v>
      </c>
      <c r="F27" s="230" t="s">
        <v>216</v>
      </c>
      <c r="G27" s="231">
        <v>1603.4</v>
      </c>
      <c r="H27" s="232">
        <v>1730.0686</v>
      </c>
      <c r="I27" s="233"/>
      <c r="J27" s="233"/>
      <c r="K27" s="233"/>
      <c r="L27" s="233"/>
      <c r="M27" s="233"/>
      <c r="N27" s="233"/>
      <c r="O27" s="233"/>
      <c r="P27" s="234"/>
    </row>
    <row r="28" spans="4:16" ht="22.5">
      <c r="D28" s="228" t="s">
        <v>14</v>
      </c>
      <c r="E28" s="245" t="s">
        <v>222</v>
      </c>
      <c r="F28" s="230" t="s">
        <v>216</v>
      </c>
      <c r="G28" s="231">
        <v>1757.66</v>
      </c>
      <c r="H28" s="232">
        <v>1896.51514</v>
      </c>
      <c r="I28" s="233"/>
      <c r="J28" s="233"/>
      <c r="K28" s="233"/>
      <c r="L28" s="233"/>
      <c r="M28" s="233"/>
      <c r="N28" s="233"/>
      <c r="O28" s="233"/>
      <c r="P28" s="234"/>
    </row>
    <row r="29" spans="4:16" ht="22.5">
      <c r="D29" s="228" t="s">
        <v>15</v>
      </c>
      <c r="E29" s="245" t="s">
        <v>113</v>
      </c>
      <c r="F29" s="230" t="s">
        <v>216</v>
      </c>
      <c r="G29" s="231">
        <v>1476.1</v>
      </c>
      <c r="H29" s="232">
        <v>1592.7118999999998</v>
      </c>
      <c r="I29" s="233"/>
      <c r="J29" s="233"/>
      <c r="K29" s="233"/>
      <c r="L29" s="233"/>
      <c r="M29" s="233"/>
      <c r="N29" s="233"/>
      <c r="O29" s="233"/>
      <c r="P29" s="234"/>
    </row>
    <row r="30" spans="4:16" ht="22.5">
      <c r="D30" s="228" t="s">
        <v>16</v>
      </c>
      <c r="E30" s="245" t="s">
        <v>115</v>
      </c>
      <c r="F30" s="230" t="s">
        <v>216</v>
      </c>
      <c r="G30" s="231">
        <v>0</v>
      </c>
      <c r="H30" s="232">
        <v>0</v>
      </c>
      <c r="I30" s="233"/>
      <c r="J30" s="233"/>
      <c r="K30" s="233"/>
      <c r="L30" s="233"/>
      <c r="M30" s="233"/>
      <c r="N30" s="233"/>
      <c r="O30" s="233"/>
      <c r="P30" s="234"/>
    </row>
    <row r="31" spans="4:16" ht="15.75" customHeight="1">
      <c r="D31" s="228" t="s">
        <v>223</v>
      </c>
      <c r="E31" s="245" t="s">
        <v>26</v>
      </c>
      <c r="F31" s="230" t="s">
        <v>216</v>
      </c>
      <c r="G31" s="231">
        <v>0</v>
      </c>
      <c r="H31" s="232">
        <v>0</v>
      </c>
      <c r="I31" s="233"/>
      <c r="J31" s="233"/>
      <c r="K31" s="233"/>
      <c r="L31" s="233"/>
      <c r="M31" s="233"/>
      <c r="N31" s="233"/>
      <c r="O31" s="233"/>
      <c r="P31" s="234"/>
    </row>
    <row r="32" spans="4:16" ht="15.75" customHeight="1">
      <c r="D32" s="228" t="s">
        <v>224</v>
      </c>
      <c r="E32" s="246" t="s">
        <v>119</v>
      </c>
      <c r="F32" s="230" t="s">
        <v>216</v>
      </c>
      <c r="G32" s="231">
        <v>8222.58</v>
      </c>
      <c r="H32" s="232">
        <v>8872.16382</v>
      </c>
      <c r="I32" s="233"/>
      <c r="J32" s="233"/>
      <c r="K32" s="233"/>
      <c r="L32" s="233"/>
      <c r="M32" s="233"/>
      <c r="N32" s="233"/>
      <c r="O32" s="233"/>
      <c r="P32" s="234"/>
    </row>
    <row r="33" spans="4:20" ht="26.25" customHeight="1">
      <c r="D33" s="228" t="s">
        <v>225</v>
      </c>
      <c r="E33" s="229" t="s">
        <v>29</v>
      </c>
      <c r="F33" s="230" t="s">
        <v>216</v>
      </c>
      <c r="G33" s="231">
        <v>1598.4</v>
      </c>
      <c r="H33" s="232">
        <v>1724.6736</v>
      </c>
      <c r="I33" s="233"/>
      <c r="J33" s="233"/>
      <c r="K33" s="233"/>
      <c r="L33" s="233"/>
      <c r="M33" s="233"/>
      <c r="N33" s="233"/>
      <c r="O33" s="233"/>
      <c r="P33" s="234"/>
      <c r="R33" s="177"/>
      <c r="S33" s="177"/>
      <c r="T33" s="177"/>
    </row>
    <row r="34" spans="4:20" ht="15.75" customHeight="1">
      <c r="D34" s="228" t="s">
        <v>226</v>
      </c>
      <c r="E34" s="229" t="s">
        <v>30</v>
      </c>
      <c r="F34" s="230" t="s">
        <v>216</v>
      </c>
      <c r="G34" s="231">
        <v>351.7</v>
      </c>
      <c r="H34" s="232">
        <v>379.48429999999996</v>
      </c>
      <c r="I34" s="233"/>
      <c r="J34" s="233"/>
      <c r="K34" s="233"/>
      <c r="L34" s="233"/>
      <c r="M34" s="233"/>
      <c r="N34" s="233"/>
      <c r="O34" s="233"/>
      <c r="P34" s="234"/>
      <c r="R34" s="177"/>
      <c r="S34" s="177"/>
      <c r="T34" s="177"/>
    </row>
    <row r="35" spans="4:16" ht="22.5">
      <c r="D35" s="228" t="s">
        <v>227</v>
      </c>
      <c r="E35" s="229" t="s">
        <v>27</v>
      </c>
      <c r="F35" s="230" t="s">
        <v>216</v>
      </c>
      <c r="G35" s="231">
        <v>6448.1</v>
      </c>
      <c r="H35" s="232">
        <v>6957.4999</v>
      </c>
      <c r="I35" s="233"/>
      <c r="J35" s="233"/>
      <c r="K35" s="233"/>
      <c r="L35" s="233"/>
      <c r="M35" s="233"/>
      <c r="N35" s="233"/>
      <c r="O35" s="233"/>
      <c r="P35" s="234"/>
    </row>
    <row r="36" spans="4:16" ht="13.5" customHeight="1">
      <c r="D36" s="228" t="s">
        <v>228</v>
      </c>
      <c r="E36" s="229" t="s">
        <v>229</v>
      </c>
      <c r="F36" s="230" t="s">
        <v>216</v>
      </c>
      <c r="G36" s="231">
        <v>4771.7</v>
      </c>
      <c r="H36" s="232">
        <v>5148.6642999999995</v>
      </c>
      <c r="I36" s="233"/>
      <c r="J36" s="233"/>
      <c r="K36" s="233"/>
      <c r="L36" s="233"/>
      <c r="M36" s="233"/>
      <c r="N36" s="233"/>
      <c r="O36" s="233"/>
      <c r="P36" s="234"/>
    </row>
    <row r="37" spans="4:16" ht="13.5" customHeight="1">
      <c r="D37" s="228" t="s">
        <v>230</v>
      </c>
      <c r="E37" s="229" t="s">
        <v>32</v>
      </c>
      <c r="F37" s="230" t="s">
        <v>216</v>
      </c>
      <c r="G37" s="231">
        <v>3548</v>
      </c>
      <c r="H37" s="232">
        <v>5448.6018344</v>
      </c>
      <c r="I37" s="233"/>
      <c r="J37" s="233"/>
      <c r="K37" s="233"/>
      <c r="L37" s="233"/>
      <c r="M37" s="233"/>
      <c r="N37" s="233"/>
      <c r="O37" s="233"/>
      <c r="P37" s="234"/>
    </row>
    <row r="38" spans="4:16" ht="20.25" customHeight="1" thickBot="1">
      <c r="D38" s="248"/>
      <c r="E38" s="249" t="s">
        <v>140</v>
      </c>
      <c r="F38" s="250" t="s">
        <v>216</v>
      </c>
      <c r="G38" s="251">
        <f>G24+G23+G20</f>
        <v>249170.04</v>
      </c>
      <c r="H38" s="252">
        <f>H24+H23+H20</f>
        <v>276835.88299440005</v>
      </c>
      <c r="I38" s="253">
        <v>146497.06494754815</v>
      </c>
      <c r="J38" s="252">
        <f>K38-I38</f>
        <v>146497.06494754815</v>
      </c>
      <c r="K38" s="254">
        <f>H38*K17</f>
        <v>292994.1298950963</v>
      </c>
      <c r="L38" s="252">
        <f>K38*L17</f>
        <v>310813.87809050037</v>
      </c>
      <c r="M38" s="252">
        <f>L38*M17</f>
        <v>327227.50496076763</v>
      </c>
      <c r="N38" s="252">
        <f>M38*N17</f>
        <v>342308.56614604295</v>
      </c>
      <c r="O38" s="252">
        <f>N38*O17</f>
        <v>358090.0525686693</v>
      </c>
      <c r="P38" s="255">
        <f>O38*P17</f>
        <v>372109.72783382516</v>
      </c>
    </row>
    <row r="39" spans="4:11" ht="11.25" hidden="1">
      <c r="D39" s="256"/>
      <c r="E39" s="214"/>
      <c r="F39" s="214"/>
      <c r="K39" s="257" t="str">
        <f>IF((I38+J38)=K38,"ОК","ОШИБКА")</f>
        <v>ОК</v>
      </c>
    </row>
    <row r="40" spans="4:6" ht="11.25">
      <c r="D40" s="256"/>
      <c r="E40" s="214"/>
      <c r="F40" s="214"/>
    </row>
    <row r="41" spans="4:16" ht="12" thickBot="1">
      <c r="D41" s="258" t="s">
        <v>231</v>
      </c>
      <c r="E41" s="259"/>
      <c r="F41" s="260"/>
      <c r="G41" s="261"/>
      <c r="H41" s="262"/>
      <c r="I41" s="262"/>
      <c r="J41" s="262"/>
      <c r="K41" s="262"/>
      <c r="L41" s="262"/>
      <c r="M41" s="262"/>
      <c r="N41" s="262"/>
      <c r="O41" s="262"/>
      <c r="P41" s="263"/>
    </row>
    <row r="42" spans="4:16" ht="11.25">
      <c r="D42" s="264" t="s">
        <v>34</v>
      </c>
      <c r="E42" s="265" t="s">
        <v>142</v>
      </c>
      <c r="F42" s="223" t="s">
        <v>216</v>
      </c>
      <c r="G42" s="266">
        <v>0</v>
      </c>
      <c r="H42" s="267">
        <v>0</v>
      </c>
      <c r="I42" s="267">
        <v>1545.1421095495</v>
      </c>
      <c r="J42" s="267">
        <v>1715.107741599945</v>
      </c>
      <c r="K42" s="268">
        <f>I42+J42</f>
        <v>3260.249851149445</v>
      </c>
      <c r="L42" s="267">
        <v>3688.167687536522</v>
      </c>
      <c r="M42" s="267">
        <v>4148.782003801514</v>
      </c>
      <c r="N42" s="267">
        <v>4618.424126631846</v>
      </c>
      <c r="O42" s="267">
        <v>5141.229737766572</v>
      </c>
      <c r="P42" s="269">
        <v>5723.216944081749</v>
      </c>
    </row>
    <row r="43" spans="4:16" ht="11.25">
      <c r="D43" s="264" t="s">
        <v>35</v>
      </c>
      <c r="E43" s="270" t="s">
        <v>28</v>
      </c>
      <c r="F43" s="271" t="s">
        <v>216</v>
      </c>
      <c r="G43" s="272">
        <v>50574</v>
      </c>
      <c r="H43" s="273">
        <v>0</v>
      </c>
      <c r="I43" s="273">
        <v>0</v>
      </c>
      <c r="J43" s="273">
        <v>0</v>
      </c>
      <c r="K43" s="237">
        <f>I43+J43</f>
        <v>0</v>
      </c>
      <c r="L43" s="273">
        <v>0</v>
      </c>
      <c r="M43" s="273">
        <v>0</v>
      </c>
      <c r="N43" s="273">
        <v>0</v>
      </c>
      <c r="O43" s="273">
        <v>0</v>
      </c>
      <c r="P43" s="274">
        <v>0</v>
      </c>
    </row>
    <row r="44" spans="4:17" ht="11.25">
      <c r="D44" s="264" t="s">
        <v>37</v>
      </c>
      <c r="E44" s="270" t="s">
        <v>232</v>
      </c>
      <c r="F44" s="271" t="s">
        <v>216</v>
      </c>
      <c r="G44" s="275">
        <f aca="true" t="shared" si="3" ref="G44:P44">SUM(G45:G47)</f>
        <v>3166</v>
      </c>
      <c r="H44" s="276">
        <f t="shared" si="3"/>
        <v>9468.72</v>
      </c>
      <c r="I44" s="276">
        <f t="shared" si="3"/>
        <v>5195.835239999999</v>
      </c>
      <c r="J44" s="276">
        <f t="shared" si="3"/>
        <v>5195.835239999999</v>
      </c>
      <c r="K44" s="276">
        <f t="shared" si="3"/>
        <v>10391.670479999999</v>
      </c>
      <c r="L44" s="276">
        <f t="shared" si="3"/>
        <v>10952.82068592</v>
      </c>
      <c r="M44" s="276">
        <f t="shared" si="3"/>
        <v>11544.27300295968</v>
      </c>
      <c r="N44" s="276">
        <f t="shared" si="3"/>
        <v>12133.030926110623</v>
      </c>
      <c r="O44" s="276">
        <f t="shared" si="3"/>
        <v>12751.815503342264</v>
      </c>
      <c r="P44" s="277">
        <f t="shared" si="3"/>
        <v>13312.895385489326</v>
      </c>
      <c r="Q44" s="247"/>
    </row>
    <row r="45" spans="4:16" ht="11.25">
      <c r="D45" s="278" t="s">
        <v>39</v>
      </c>
      <c r="E45" s="279" t="s">
        <v>22</v>
      </c>
      <c r="F45" s="271" t="s">
        <v>216</v>
      </c>
      <c r="G45" s="272">
        <v>817</v>
      </c>
      <c r="H45" s="273">
        <v>3295.2</v>
      </c>
      <c r="I45" s="273">
        <v>1744.8084</v>
      </c>
      <c r="J45" s="273">
        <v>1744.8084</v>
      </c>
      <c r="K45" s="237">
        <f>I45+J45</f>
        <v>3489.6168</v>
      </c>
      <c r="L45" s="273">
        <v>3678.0561072</v>
      </c>
      <c r="M45" s="273">
        <v>3876.6711369888003</v>
      </c>
      <c r="N45" s="273">
        <v>4074.3813649752287</v>
      </c>
      <c r="O45" s="273">
        <v>4282.174814588965</v>
      </c>
      <c r="P45" s="274">
        <v>4470.59050643088</v>
      </c>
    </row>
    <row r="46" spans="4:16" ht="11.25">
      <c r="D46" s="278" t="s">
        <v>40</v>
      </c>
      <c r="E46" s="280" t="s">
        <v>233</v>
      </c>
      <c r="F46" s="271" t="s">
        <v>216</v>
      </c>
      <c r="G46" s="272">
        <v>1653</v>
      </c>
      <c r="H46" s="273">
        <v>5253.58</v>
      </c>
      <c r="I46" s="273">
        <v>2963.9186099999997</v>
      </c>
      <c r="J46" s="273">
        <v>2963.9186099999997</v>
      </c>
      <c r="K46" s="237">
        <f>I46+J46</f>
        <v>5927.837219999999</v>
      </c>
      <c r="L46" s="273">
        <v>6247.94042988</v>
      </c>
      <c r="M46" s="273">
        <v>6585.329213093521</v>
      </c>
      <c r="N46" s="273">
        <v>6921.18100296129</v>
      </c>
      <c r="O46" s="273">
        <v>7274.1612341123155</v>
      </c>
      <c r="P46" s="274">
        <v>7594.224328413257</v>
      </c>
    </row>
    <row r="47" spans="4:16" ht="11.25">
      <c r="D47" s="278" t="s">
        <v>41</v>
      </c>
      <c r="E47" s="280" t="s">
        <v>234</v>
      </c>
      <c r="F47" s="271" t="s">
        <v>216</v>
      </c>
      <c r="G47" s="272">
        <v>696</v>
      </c>
      <c r="H47" s="273">
        <v>919.94</v>
      </c>
      <c r="I47" s="273">
        <v>487.10823</v>
      </c>
      <c r="J47" s="273">
        <v>487.10823</v>
      </c>
      <c r="K47" s="237">
        <f>I47+J47</f>
        <v>974.21646</v>
      </c>
      <c r="L47" s="273">
        <v>1026.8241488400001</v>
      </c>
      <c r="M47" s="273">
        <v>1082.27265287736</v>
      </c>
      <c r="N47" s="273">
        <v>1137.4685581741053</v>
      </c>
      <c r="O47" s="273">
        <v>1195.4794546409846</v>
      </c>
      <c r="P47" s="274">
        <v>1248.080550645188</v>
      </c>
    </row>
    <row r="48" spans="4:16" ht="22.5">
      <c r="D48" s="278" t="s">
        <v>43</v>
      </c>
      <c r="E48" s="281" t="s">
        <v>235</v>
      </c>
      <c r="F48" s="271" t="s">
        <v>216</v>
      </c>
      <c r="G48" s="272">
        <v>33084</v>
      </c>
      <c r="H48" s="273">
        <v>34655.9</v>
      </c>
      <c r="I48" s="273">
        <v>29667.588656171116</v>
      </c>
      <c r="J48" s="273">
        <v>29667.588656171116</v>
      </c>
      <c r="K48" s="237">
        <f>I48+J48</f>
        <v>59335.17731234223</v>
      </c>
      <c r="L48" s="273">
        <v>62919.99302808407</v>
      </c>
      <c r="M48" s="273">
        <v>77517.87860604859</v>
      </c>
      <c r="N48" s="273">
        <v>81084.75144428258</v>
      </c>
      <c r="O48" s="273">
        <v>84816.84247730728</v>
      </c>
      <c r="P48" s="274">
        <v>88089.58677695948</v>
      </c>
    </row>
    <row r="49" spans="4:16" ht="12.75">
      <c r="D49" s="282" t="s">
        <v>44</v>
      </c>
      <c r="E49" s="281" t="s">
        <v>59</v>
      </c>
      <c r="F49" s="271" t="s">
        <v>216</v>
      </c>
      <c r="G49" s="272">
        <v>4803.1</v>
      </c>
      <c r="H49" s="273">
        <v>13066.06819631697</v>
      </c>
      <c r="I49" s="237">
        <f>'[1]Расчет НВВ по RAB (2011-2017)'!$G$64</f>
        <v>4025.0164451854466</v>
      </c>
      <c r="J49" s="237">
        <f>'[1]Расчет НВВ по RAB (2011-2017)'!$H$64</f>
        <v>4025.0164451854466</v>
      </c>
      <c r="K49" s="244">
        <f>'[1]Расчет НВВ по RAB (2011-2017)'!$I$64</f>
        <v>8050.032890370894</v>
      </c>
      <c r="L49" s="244">
        <f>'[1]Расчет НВВ по RAB (2011-2017)'!$J$64</f>
        <v>39396.83869737858</v>
      </c>
      <c r="M49" s="244">
        <f>'[1]Расчет НВВ по RAB (2011-2017)'!$K$64</f>
        <v>53162.10276270803</v>
      </c>
      <c r="N49" s="244">
        <f>'[1]Расчет НВВ по RAB (2011-2017)'!$L$64</f>
        <v>65178.713549951455</v>
      </c>
      <c r="O49" s="244">
        <f>'[1]Расчет НВВ по RAB (2011-2017)'!$M$64</f>
        <v>78473.50229996894</v>
      </c>
      <c r="P49" s="283">
        <f>'[1]Расчет НВВ по RAB (2011-2017)'!$N$64</f>
        <v>93822.6853214501</v>
      </c>
    </row>
    <row r="50" spans="4:16" ht="33.75">
      <c r="D50" s="278" t="s">
        <v>236</v>
      </c>
      <c r="E50" s="281" t="s">
        <v>237</v>
      </c>
      <c r="F50" s="271" t="s">
        <v>216</v>
      </c>
      <c r="G50" s="272">
        <v>0</v>
      </c>
      <c r="H50" s="273">
        <v>0</v>
      </c>
      <c r="I50" s="273">
        <v>0</v>
      </c>
      <c r="J50" s="273">
        <v>0</v>
      </c>
      <c r="K50" s="237">
        <f>I50+J50</f>
        <v>0</v>
      </c>
      <c r="L50" s="273">
        <v>0</v>
      </c>
      <c r="M50" s="273">
        <v>0</v>
      </c>
      <c r="N50" s="273">
        <v>0</v>
      </c>
      <c r="O50" s="273">
        <v>0</v>
      </c>
      <c r="P50" s="274">
        <v>0</v>
      </c>
    </row>
    <row r="51" spans="4:16" ht="13.5" thickBot="1">
      <c r="D51" s="282" t="s">
        <v>238</v>
      </c>
      <c r="E51" s="284" t="s">
        <v>239</v>
      </c>
      <c r="F51" s="285" t="s">
        <v>216</v>
      </c>
      <c r="G51" s="272">
        <v>28420.2</v>
      </c>
      <c r="H51" s="273">
        <v>0</v>
      </c>
      <c r="I51" s="273">
        <v>0</v>
      </c>
      <c r="J51" s="273">
        <v>0</v>
      </c>
      <c r="K51" s="237">
        <f>I51+J51</f>
        <v>0</v>
      </c>
      <c r="L51" s="273">
        <v>0</v>
      </c>
      <c r="M51" s="273">
        <v>0</v>
      </c>
      <c r="N51" s="273">
        <v>0</v>
      </c>
      <c r="O51" s="273">
        <v>0</v>
      </c>
      <c r="P51" s="274">
        <v>0</v>
      </c>
    </row>
    <row r="52" spans="4:16" ht="12" thickBot="1">
      <c r="D52" s="286"/>
      <c r="E52" s="287" t="s">
        <v>173</v>
      </c>
      <c r="F52" s="288" t="s">
        <v>216</v>
      </c>
      <c r="G52" s="289">
        <f aca="true" t="shared" si="4" ref="G52:P52">G42+G43+G44+G48+IF(G49="-",0,G49)+G50+G51</f>
        <v>120047.3</v>
      </c>
      <c r="H52" s="290">
        <f t="shared" si="4"/>
        <v>57190.68819631697</v>
      </c>
      <c r="I52" s="290">
        <f t="shared" si="4"/>
        <v>40433.582450906055</v>
      </c>
      <c r="J52" s="290">
        <f t="shared" si="4"/>
        <v>40603.548082956506</v>
      </c>
      <c r="K52" s="290">
        <f t="shared" si="4"/>
        <v>81037.13053386257</v>
      </c>
      <c r="L52" s="290">
        <f t="shared" si="4"/>
        <v>116957.82009891918</v>
      </c>
      <c r="M52" s="290">
        <f t="shared" si="4"/>
        <v>146373.0363755178</v>
      </c>
      <c r="N52" s="290">
        <f t="shared" si="4"/>
        <v>163014.9200469765</v>
      </c>
      <c r="O52" s="290">
        <f t="shared" si="4"/>
        <v>181183.39001838505</v>
      </c>
      <c r="P52" s="291">
        <f t="shared" si="4"/>
        <v>200948.38442798064</v>
      </c>
    </row>
    <row r="53" spans="4:6" ht="11.25">
      <c r="D53" s="214"/>
      <c r="E53" s="214"/>
      <c r="F53" s="214"/>
    </row>
    <row r="54" spans="4:6" ht="11.25">
      <c r="D54" s="292" t="s">
        <v>66</v>
      </c>
      <c r="E54" s="214"/>
      <c r="F54" s="214"/>
    </row>
    <row r="55" spans="4:16" ht="12" thickBot="1">
      <c r="D55" s="777" t="s">
        <v>240</v>
      </c>
      <c r="E55" s="778"/>
      <c r="F55" s="779"/>
      <c r="G55" s="293"/>
      <c r="H55" s="294"/>
      <c r="I55" s="294"/>
      <c r="J55" s="294"/>
      <c r="K55" s="294"/>
      <c r="L55" s="294"/>
      <c r="M55" s="294"/>
      <c r="N55" s="294"/>
      <c r="O55" s="294"/>
      <c r="P55" s="295"/>
    </row>
    <row r="56" spans="4:16" ht="15.75" customHeight="1">
      <c r="D56" s="296" t="s">
        <v>46</v>
      </c>
      <c r="E56" s="222" t="s">
        <v>160</v>
      </c>
      <c r="F56" s="297" t="s">
        <v>216</v>
      </c>
      <c r="G56" s="298">
        <v>19266</v>
      </c>
      <c r="H56" s="299">
        <v>126982.45036374034</v>
      </c>
      <c r="I56" s="300">
        <f>'[1]Расчет НВВ по RAB (2011-2017)'!$G$59</f>
        <v>67320.07687678543</v>
      </c>
      <c r="J56" s="300">
        <f>'[1]Расчет НВВ по RAB (2011-2017)'!$H$59</f>
        <v>67320.07687678543</v>
      </c>
      <c r="K56" s="300">
        <f>'[1]Расчет НВВ по RAB (2011-2017)'!$I$59</f>
        <v>134640.15375357086</v>
      </c>
      <c r="L56" s="300">
        <f>'[1]Расчет НВВ по RAB (2011-2017)'!$J$59</f>
        <v>144046.8089119484</v>
      </c>
      <c r="M56" s="300">
        <f>'[1]Расчет НВВ по RAB (2011-2017)'!$K$59</f>
        <v>157224.21932236996</v>
      </c>
      <c r="N56" s="300">
        <f>'[1]Расчет НВВ по RAB (2011-2017)'!$L$59</f>
        <v>172914.87971452303</v>
      </c>
      <c r="O56" s="300">
        <f>'[1]Расчет НВВ по RAB (2011-2017)'!$M$59</f>
        <v>191581.91485436927</v>
      </c>
      <c r="P56" s="301">
        <f>'[1]Расчет НВВ по RAB (2011-2017)'!$N$59</f>
        <v>213705.03106688426</v>
      </c>
    </row>
    <row r="57" spans="4:16" ht="11.25">
      <c r="D57" s="302" t="s">
        <v>47</v>
      </c>
      <c r="E57" s="235" t="s">
        <v>241</v>
      </c>
      <c r="F57" s="271" t="s">
        <v>216</v>
      </c>
      <c r="G57" s="303">
        <v>2052.3</v>
      </c>
      <c r="H57" s="273">
        <v>60272.41829467472</v>
      </c>
      <c r="I57" s="273">
        <v>33720.57212799303</v>
      </c>
      <c r="J57" s="304">
        <f>K57-I57</f>
        <v>33720.57212799303</v>
      </c>
      <c r="K57" s="237">
        <f>'[1]Расчет НВВ по RAB (2011-2017)'!$I$103</f>
        <v>67441.14425598606</v>
      </c>
      <c r="L57" s="237">
        <f>'[1]Расчет НВВ по RAB (2011-2017)'!$J$103</f>
        <v>74174.58810911777</v>
      </c>
      <c r="M57" s="237">
        <f>'[1]Расчет НВВ по RAB (2011-2017)'!$K$103</f>
        <v>78220.2782905127</v>
      </c>
      <c r="N57" s="237">
        <f>'[1]Расчет НВВ по RAB (2011-2017)'!$L$103</f>
        <v>82002.22989265171</v>
      </c>
      <c r="O57" s="237">
        <f>'[1]Расчет НВВ по RAB (2011-2017)'!$M$103</f>
        <v>86310.083358701</v>
      </c>
      <c r="P57" s="305">
        <f>'[1]Расчет НВВ по RAB (2011-2017)'!$N$103</f>
        <v>91128.56538550992</v>
      </c>
    </row>
    <row r="58" spans="4:16" ht="11.25">
      <c r="D58" s="302" t="s">
        <v>48</v>
      </c>
      <c r="E58" s="235" t="s">
        <v>242</v>
      </c>
      <c r="F58" s="271" t="s">
        <v>216</v>
      </c>
      <c r="G58" s="303">
        <v>0</v>
      </c>
      <c r="H58" s="273">
        <v>18860.872785267886</v>
      </c>
      <c r="I58" s="273">
        <v>-12203.69282128721</v>
      </c>
      <c r="J58" s="304">
        <f>K58-I58</f>
        <v>12203.69282128721</v>
      </c>
      <c r="K58" s="237">
        <f>'[1]Расчет НВВ по RAB (2011-2017)'!$I$84</f>
        <v>0</v>
      </c>
      <c r="L58" s="237">
        <f>'[1]Расчет НВВ по RAB (2011-2017)'!$J$84</f>
        <v>121918.9432218301</v>
      </c>
      <c r="M58" s="237">
        <f>'[1]Расчет НВВ по RAB (2011-2017)'!$K$84</f>
        <v>176107.71418047333</v>
      </c>
      <c r="N58" s="237">
        <f>'[1]Расчет НВВ по RAB (2011-2017)'!$L$84</f>
        <v>223324.47281492662</v>
      </c>
      <c r="O58" s="237">
        <f>'[1]Расчет НВВ по RAB (2011-2017)'!$M$84</f>
        <v>275618.8765083028</v>
      </c>
      <c r="P58" s="305">
        <f>'[1]Расчет НВВ по RAB (2011-2017)'!$N$84</f>
        <v>336249.15548915626</v>
      </c>
    </row>
    <row r="59" spans="4:16" ht="11.25">
      <c r="D59" s="302" t="s">
        <v>49</v>
      </c>
      <c r="E59" s="235" t="s">
        <v>243</v>
      </c>
      <c r="F59" s="271" t="s">
        <v>216</v>
      </c>
      <c r="G59" s="303">
        <v>0</v>
      </c>
      <c r="H59" s="273">
        <v>0</v>
      </c>
      <c r="I59" s="273">
        <v>0</v>
      </c>
      <c r="J59" s="304">
        <f>K59-I59</f>
        <v>0</v>
      </c>
      <c r="K59" s="237">
        <f>'[1]Расчет НВВ по RAB (2011-2017)'!$I$94</f>
        <v>0</v>
      </c>
      <c r="L59" s="237">
        <f>'[1]Расчет НВВ по RAB (2011-2017)'!$J$94</f>
        <v>0</v>
      </c>
      <c r="M59" s="237">
        <f>'[1]Расчет НВВ по RAB (2011-2017)'!$K$94</f>
        <v>0</v>
      </c>
      <c r="N59" s="237">
        <f>'[1]Расчет НВВ по RAB (2011-2017)'!$L$94</f>
        <v>0</v>
      </c>
      <c r="O59" s="237">
        <f>'[1]Расчет НВВ по RAB (2011-2017)'!$M$94</f>
        <v>0</v>
      </c>
      <c r="P59" s="305">
        <f>'[1]Расчет НВВ по RAB (2011-2017)'!$N$94</f>
        <v>0</v>
      </c>
    </row>
    <row r="60" spans="4:16" ht="11.25">
      <c r="D60" s="302" t="s">
        <v>146</v>
      </c>
      <c r="E60" s="235" t="s">
        <v>170</v>
      </c>
      <c r="F60" s="271" t="s">
        <v>216</v>
      </c>
      <c r="G60" s="303">
        <v>0</v>
      </c>
      <c r="H60" s="273">
        <v>0</v>
      </c>
      <c r="I60" s="273">
        <v>0</v>
      </c>
      <c r="J60" s="304">
        <f>K60-I60</f>
        <v>0</v>
      </c>
      <c r="K60" s="237">
        <f>'[1]Расчет НВВ по RAB (2011-2017)'!$I$70</f>
        <v>0</v>
      </c>
      <c r="L60" s="237">
        <f>'[1]Расчет НВВ по RAB (2011-2017)'!$J$70</f>
        <v>0</v>
      </c>
      <c r="M60" s="237">
        <f>'[1]Расчет НВВ по RAB (2011-2017)'!$K$70</f>
        <v>0</v>
      </c>
      <c r="N60" s="237">
        <f>'[1]Расчет НВВ по RAB (2011-2017)'!$L$70</f>
        <v>0</v>
      </c>
      <c r="O60" s="237">
        <f>'[1]Расчет НВВ по RAB (2011-2017)'!$M$70</f>
        <v>0</v>
      </c>
      <c r="P60" s="305">
        <f>'[1]Расчет НВВ по RAB (2011-2017)'!$N$70</f>
        <v>0</v>
      </c>
    </row>
    <row r="61" spans="4:16" ht="12" thickBot="1">
      <c r="D61" s="306" t="s">
        <v>152</v>
      </c>
      <c r="E61" s="307" t="s">
        <v>244</v>
      </c>
      <c r="F61" s="308" t="s">
        <v>216</v>
      </c>
      <c r="G61" s="309">
        <v>14103</v>
      </c>
      <c r="H61" s="310">
        <v>17450.95</v>
      </c>
      <c r="I61" s="310">
        <v>9440.316676453987</v>
      </c>
      <c r="J61" s="311">
        <f>K61-I61</f>
        <v>9440.316676453987</v>
      </c>
      <c r="K61" s="312">
        <f>'[1]Расчет НВВ по RAB (2011-2017)'!$I$69</f>
        <v>18880.633352907975</v>
      </c>
      <c r="L61" s="312">
        <f>'[1]Расчет НВВ по RAB (2011-2017)'!$J$69</f>
        <v>19715.96156768417</v>
      </c>
      <c r="M61" s="312">
        <f>'[1]Расчет НВВ по RAB (2011-2017)'!$K$69</f>
        <v>20588.246870358784</v>
      </c>
      <c r="N61" s="312">
        <f>'[1]Расчет НВВ по RAB (2011-2017)'!$L$69</f>
        <v>21437.931384879208</v>
      </c>
      <c r="O61" s="312">
        <f>'[1]Расчет НВВ по RAB (2011-2017)'!$M$69</f>
        <v>22322.68269157295</v>
      </c>
      <c r="P61" s="313">
        <f>'[1]Расчет НВВ по RAB (2011-2017)'!$N$69</f>
        <v>23089.13579664416</v>
      </c>
    </row>
    <row r="62" spans="4:16" ht="15" customHeight="1">
      <c r="D62" s="314" t="s">
        <v>154</v>
      </c>
      <c r="E62" s="315" t="s">
        <v>245</v>
      </c>
      <c r="F62" s="316" t="s">
        <v>216</v>
      </c>
      <c r="G62" s="317">
        <f aca="true" t="shared" si="5" ref="G62:P62">SUM(G56:G61)</f>
        <v>35421.3</v>
      </c>
      <c r="H62" s="318">
        <f t="shared" si="5"/>
        <v>223566.69144368294</v>
      </c>
      <c r="I62" s="318">
        <f t="shared" si="5"/>
        <v>98277.27285994524</v>
      </c>
      <c r="J62" s="318">
        <f t="shared" si="5"/>
        <v>122684.65850251967</v>
      </c>
      <c r="K62" s="318">
        <f t="shared" si="5"/>
        <v>220961.9313624649</v>
      </c>
      <c r="L62" s="318">
        <f t="shared" si="5"/>
        <v>359856.3018105804</v>
      </c>
      <c r="M62" s="318">
        <f t="shared" si="5"/>
        <v>432140.45866371476</v>
      </c>
      <c r="N62" s="318">
        <f t="shared" si="5"/>
        <v>499679.5138069806</v>
      </c>
      <c r="O62" s="318">
        <f t="shared" si="5"/>
        <v>575833.557412946</v>
      </c>
      <c r="P62" s="319">
        <f t="shared" si="5"/>
        <v>664171.8877381945</v>
      </c>
    </row>
    <row r="63" spans="4:16" ht="28.5" customHeight="1" thickBot="1">
      <c r="D63" s="320" t="s">
        <v>156</v>
      </c>
      <c r="E63" s="321" t="s">
        <v>246</v>
      </c>
      <c r="F63" s="322" t="s">
        <v>216</v>
      </c>
      <c r="G63" s="323">
        <f aca="true" t="shared" si="6" ref="G63:P63">G38+G52+G62</f>
        <v>404638.64</v>
      </c>
      <c r="H63" s="324">
        <f t="shared" si="6"/>
        <v>557593.2626344</v>
      </c>
      <c r="I63" s="324">
        <f t="shared" si="6"/>
        <v>285207.92025839945</v>
      </c>
      <c r="J63" s="324">
        <f t="shared" si="6"/>
        <v>309785.2715330243</v>
      </c>
      <c r="K63" s="252">
        <f t="shared" si="6"/>
        <v>594993.1917914238</v>
      </c>
      <c r="L63" s="252">
        <f t="shared" si="6"/>
        <v>787628</v>
      </c>
      <c r="M63" s="252">
        <f t="shared" si="6"/>
        <v>905741.0000000002</v>
      </c>
      <c r="N63" s="252">
        <f t="shared" si="6"/>
        <v>1005003</v>
      </c>
      <c r="O63" s="252">
        <f t="shared" si="6"/>
        <v>1115107.0000000005</v>
      </c>
      <c r="P63" s="325">
        <f t="shared" si="6"/>
        <v>1237230.0000000005</v>
      </c>
    </row>
    <row r="64" spans="4:16" ht="48" customHeight="1" thickBot="1">
      <c r="D64" s="326" t="s">
        <v>157</v>
      </c>
      <c r="E64" s="327" t="s">
        <v>247</v>
      </c>
      <c r="F64" s="322" t="s">
        <v>216</v>
      </c>
      <c r="G64" s="328">
        <v>404638.64</v>
      </c>
      <c r="H64" s="329">
        <v>557593.2626344</v>
      </c>
      <c r="I64" s="330"/>
      <c r="J64" s="330"/>
      <c r="K64" s="330"/>
      <c r="L64" s="330"/>
      <c r="M64" s="330"/>
      <c r="N64" s="330"/>
      <c r="O64" s="330"/>
      <c r="P64" s="331"/>
    </row>
    <row r="65" spans="4:6" ht="14.25" customHeight="1">
      <c r="D65" s="332"/>
      <c r="E65" s="332"/>
      <c r="F65" s="332"/>
    </row>
    <row r="66" spans="4:16" ht="12" hidden="1" thickBot="1">
      <c r="D66" s="777" t="s">
        <v>248</v>
      </c>
      <c r="E66" s="778"/>
      <c r="F66" s="779"/>
      <c r="G66" s="333"/>
      <c r="H66" s="220"/>
      <c r="I66" s="220"/>
      <c r="J66" s="220"/>
      <c r="K66" s="220"/>
      <c r="L66" s="220"/>
      <c r="M66" s="220"/>
      <c r="N66" s="220"/>
      <c r="O66" s="220"/>
      <c r="P66" s="334"/>
    </row>
    <row r="67" spans="4:17" ht="22.5" hidden="1">
      <c r="D67" s="335" t="s">
        <v>51</v>
      </c>
      <c r="E67" s="222" t="s">
        <v>249</v>
      </c>
      <c r="F67" s="336" t="s">
        <v>216</v>
      </c>
      <c r="G67" s="337"/>
      <c r="H67" s="338">
        <v>170171.186440678</v>
      </c>
      <c r="I67" s="339"/>
      <c r="J67" s="339"/>
      <c r="K67" s="339"/>
      <c r="L67" s="339"/>
      <c r="M67" s="339"/>
      <c r="N67" s="339"/>
      <c r="O67" s="339"/>
      <c r="P67" s="340"/>
      <c r="Q67" s="247"/>
    </row>
    <row r="68" spans="4:17" ht="12.75" hidden="1">
      <c r="D68" s="341" t="s">
        <v>52</v>
      </c>
      <c r="E68" s="235" t="s">
        <v>250</v>
      </c>
      <c r="F68" s="342" t="s">
        <v>216</v>
      </c>
      <c r="G68" s="337"/>
      <c r="H68" s="343">
        <v>170171.186440678</v>
      </c>
      <c r="I68" s="344"/>
      <c r="J68" s="344"/>
      <c r="K68" s="344"/>
      <c r="L68" s="344"/>
      <c r="M68" s="344"/>
      <c r="N68" s="344"/>
      <c r="O68" s="344"/>
      <c r="P68" s="345"/>
      <c r="Q68" s="247"/>
    </row>
    <row r="69" spans="4:17" ht="12.75" hidden="1">
      <c r="D69" s="346" t="s">
        <v>53</v>
      </c>
      <c r="E69" s="235" t="s">
        <v>251</v>
      </c>
      <c r="F69" s="342" t="s">
        <v>89</v>
      </c>
      <c r="G69" s="347"/>
      <c r="H69" s="348">
        <v>0.12</v>
      </c>
      <c r="I69" s="349"/>
      <c r="J69" s="349"/>
      <c r="K69" s="349"/>
      <c r="L69" s="349"/>
      <c r="M69" s="349"/>
      <c r="N69" s="349"/>
      <c r="O69" s="349"/>
      <c r="P69" s="350"/>
      <c r="Q69" s="247"/>
    </row>
    <row r="70" spans="4:17" ht="22.5" hidden="1">
      <c r="D70" s="346" t="s">
        <v>54</v>
      </c>
      <c r="E70" s="235" t="s">
        <v>252</v>
      </c>
      <c r="F70" s="342" t="s">
        <v>216</v>
      </c>
      <c r="G70" s="337"/>
      <c r="H70" s="343">
        <v>0</v>
      </c>
      <c r="I70" s="344"/>
      <c r="J70" s="344"/>
      <c r="K70" s="344"/>
      <c r="L70" s="344"/>
      <c r="M70" s="344"/>
      <c r="N70" s="344"/>
      <c r="O70" s="344"/>
      <c r="P70" s="345"/>
      <c r="Q70" s="247"/>
    </row>
    <row r="71" spans="4:17" ht="12.75" hidden="1">
      <c r="D71" s="341" t="s">
        <v>55</v>
      </c>
      <c r="E71" s="235" t="s">
        <v>253</v>
      </c>
      <c r="F71" s="342" t="s">
        <v>254</v>
      </c>
      <c r="G71" s="337"/>
      <c r="H71" s="343">
        <v>35</v>
      </c>
      <c r="I71" s="344"/>
      <c r="J71" s="344"/>
      <c r="K71" s="344"/>
      <c r="L71" s="344"/>
      <c r="M71" s="344"/>
      <c r="N71" s="344"/>
      <c r="O71" s="344"/>
      <c r="P71" s="345"/>
      <c r="Q71" s="247"/>
    </row>
    <row r="72" spans="4:17" ht="12.75" hidden="1">
      <c r="D72" s="351"/>
      <c r="E72" s="352"/>
      <c r="F72" s="353"/>
      <c r="G72" s="354"/>
      <c r="H72" s="355"/>
      <c r="I72" s="355"/>
      <c r="J72" s="355"/>
      <c r="K72" s="355"/>
      <c r="L72" s="355"/>
      <c r="M72" s="355"/>
      <c r="N72" s="355"/>
      <c r="O72" s="355"/>
      <c r="P72" s="356"/>
      <c r="Q72" s="247"/>
    </row>
    <row r="73" spans="4:17" ht="12.75" hidden="1">
      <c r="D73" s="351"/>
      <c r="E73" s="352"/>
      <c r="F73" s="353"/>
      <c r="G73" s="354"/>
      <c r="H73" s="355"/>
      <c r="I73" s="355"/>
      <c r="J73" s="355"/>
      <c r="K73" s="355"/>
      <c r="L73" s="355"/>
      <c r="M73" s="355"/>
      <c r="N73" s="355"/>
      <c r="O73" s="355"/>
      <c r="P73" s="356"/>
      <c r="Q73" s="247"/>
    </row>
    <row r="74" spans="4:17" ht="12.75" hidden="1">
      <c r="D74" s="357"/>
      <c r="E74" s="358"/>
      <c r="F74" s="359"/>
      <c r="G74" s="360"/>
      <c r="H74" s="361"/>
      <c r="I74" s="362"/>
      <c r="J74" s="361"/>
      <c r="K74" s="361"/>
      <c r="L74" s="361"/>
      <c r="M74" s="361"/>
      <c r="N74" s="361"/>
      <c r="O74" s="361"/>
      <c r="P74" s="363"/>
      <c r="Q74" s="247"/>
    </row>
    <row r="75" spans="4:16" ht="57" hidden="1">
      <c r="D75" s="346" t="s">
        <v>255</v>
      </c>
      <c r="E75" s="235" t="s">
        <v>256</v>
      </c>
      <c r="F75" s="342" t="s">
        <v>216</v>
      </c>
      <c r="G75" s="364">
        <v>498175.4738048499</v>
      </c>
      <c r="H75" s="365"/>
      <c r="I75" s="365"/>
      <c r="J75" s="365"/>
      <c r="K75" s="365"/>
      <c r="L75" s="365"/>
      <c r="M75" s="365"/>
      <c r="N75" s="365"/>
      <c r="O75" s="365"/>
      <c r="P75" s="366"/>
    </row>
    <row r="76" spans="4:17" ht="57" hidden="1">
      <c r="D76" s="346" t="s">
        <v>257</v>
      </c>
      <c r="E76" s="235" t="s">
        <v>258</v>
      </c>
      <c r="F76" s="342" t="s">
        <v>216</v>
      </c>
      <c r="G76" s="364">
        <v>467270</v>
      </c>
      <c r="H76" s="365"/>
      <c r="I76" s="365"/>
      <c r="J76" s="365"/>
      <c r="K76" s="365"/>
      <c r="L76" s="365"/>
      <c r="M76" s="365"/>
      <c r="N76" s="365"/>
      <c r="O76" s="365"/>
      <c r="P76" s="366"/>
      <c r="Q76" s="247"/>
    </row>
    <row r="77" spans="4:17" ht="12.75" hidden="1">
      <c r="D77" s="346" t="s">
        <v>259</v>
      </c>
      <c r="E77" s="235" t="s">
        <v>260</v>
      </c>
      <c r="F77" s="342" t="s">
        <v>216</v>
      </c>
      <c r="G77" s="337"/>
      <c r="H77" s="367">
        <f>IF(G75=0,0,(G75-G76)*(H8+1))</f>
        <v>32790.70770694574</v>
      </c>
      <c r="I77" s="368">
        <v>22323.59952</v>
      </c>
      <c r="J77" s="367">
        <f>K77-I77</f>
        <v>12139.434279999969</v>
      </c>
      <c r="K77" s="367">
        <f>H77*(K8+1)</f>
        <v>34463.03379999997</v>
      </c>
      <c r="L77" s="367">
        <f>K77*(L8+1)</f>
        <v>36496.352794199964</v>
      </c>
      <c r="M77" s="367">
        <f>L77*(M8+1)</f>
        <v>38394.16313949836</v>
      </c>
      <c r="N77" s="367">
        <f>M77*(N8+1)</f>
        <v>40390.65962275228</v>
      </c>
      <c r="O77" s="367">
        <f>N77*(O8+1)</f>
        <v>42490.9739231354</v>
      </c>
      <c r="P77" s="369">
        <f>O77*(P8+1)</f>
        <v>44700.50456713844</v>
      </c>
      <c r="Q77" s="247"/>
    </row>
    <row r="78" spans="4:17" ht="7.5" customHeight="1" hidden="1">
      <c r="D78" s="346" t="s">
        <v>261</v>
      </c>
      <c r="E78" s="235" t="s">
        <v>262</v>
      </c>
      <c r="F78" s="342" t="s">
        <v>89</v>
      </c>
      <c r="G78" s="370"/>
      <c r="H78" s="371"/>
      <c r="I78" s="371"/>
      <c r="J78" s="371"/>
      <c r="K78" s="372" t="e">
        <f>nerr(K77/H64)</f>
        <v>#NAME?</v>
      </c>
      <c r="L78" s="372" t="e">
        <f>nerr($L$77/'[1]Расчет НВВ по RAB (2011-2017)'!$I$8)</f>
        <v>#NAME?</v>
      </c>
      <c r="M78" s="372" t="e">
        <f>nerr($M$77/'[1]Расчет НВВ по RAB (2011-2017)'!$J$8)</f>
        <v>#NAME?</v>
      </c>
      <c r="N78" s="372" t="e">
        <f>nerr($N$77/'[1]Расчет НВВ по RAB (2011-2017)'!$K$8)</f>
        <v>#NAME?</v>
      </c>
      <c r="O78" s="372" t="e">
        <f>nerr($O$77/'[1]Расчет НВВ по RAB (2011-2017)'!$L$8)</f>
        <v>#NAME?</v>
      </c>
      <c r="P78" s="373" t="e">
        <f>nerr($P$77/'[1]Расчет НВВ по RAB (2011-2017)'!$M$8)</f>
        <v>#NAME?</v>
      </c>
      <c r="Q78" s="247"/>
    </row>
    <row r="79" spans="4:17" ht="12.75" hidden="1">
      <c r="D79" s="346" t="s">
        <v>263</v>
      </c>
      <c r="E79" s="235" t="s">
        <v>264</v>
      </c>
      <c r="F79" s="342" t="s">
        <v>216</v>
      </c>
      <c r="G79" s="337"/>
      <c r="H79" s="374">
        <v>26539.366445911186</v>
      </c>
      <c r="I79" s="375"/>
      <c r="J79" s="375"/>
      <c r="K79" s="376">
        <f>'[1]Расчет НВВ по RAB (2011-2017)'!$I$18</f>
        <v>62400.44282475156</v>
      </c>
      <c r="L79" s="376">
        <f>'[1]Расчет НВВ по RAB (2011-2017)'!$J$18</f>
        <v>-59592.1037610674</v>
      </c>
      <c r="M79" s="376">
        <f>'[1]Расчет НВВ по RAB (2011-2017)'!$K$18</f>
        <v>-57683.55125303413</v>
      </c>
      <c r="N79" s="376">
        <f>'[1]Расчет НВВ по RAB (2011-2017)'!$L$18</f>
        <v>-26529.2212232393</v>
      </c>
      <c r="O79" s="376">
        <f>'[1]Расчет НВВ по RAB (2011-2017)'!$M$18</f>
        <v>5159.188494656622</v>
      </c>
      <c r="P79" s="377">
        <f>'[1]Расчет НВВ по RAB (2011-2017)'!$N$18</f>
        <v>39681.06520574508</v>
      </c>
      <c r="Q79" s="247"/>
    </row>
    <row r="80" spans="4:18" ht="12.75" hidden="1">
      <c r="D80" s="346"/>
      <c r="E80" s="235"/>
      <c r="F80" s="342"/>
      <c r="G80" s="337"/>
      <c r="H80" s="378">
        <f>H79*PRODUCT(H82:O82)</f>
        <v>50538.05358547323</v>
      </c>
      <c r="I80" s="379"/>
      <c r="J80" s="379"/>
      <c r="K80" s="378">
        <f>K79*PRODUCT(K82:O82)</f>
        <v>106095.65772193049</v>
      </c>
      <c r="L80" s="378">
        <f>L79*PRODUCT(L82:O82)</f>
        <v>-90465.00938932617</v>
      </c>
      <c r="M80" s="378">
        <f>M79*PRODUCT(M82:O82)</f>
        <v>-78889.81288373834</v>
      </c>
      <c r="N80" s="378">
        <f>N79*PRODUCT(N82:O82)</f>
        <v>-32686.653469153145</v>
      </c>
      <c r="O80" s="378">
        <f>O79*PRODUCT(O82:O82)</f>
        <v>5726.699229068851</v>
      </c>
      <c r="P80" s="377">
        <f>-(H80+K80+L80+M80+N80+O80)</f>
        <v>39681.06520574508</v>
      </c>
      <c r="Q80" s="380"/>
      <c r="R80" s="177"/>
    </row>
    <row r="81" spans="4:17" ht="12.75" hidden="1">
      <c r="D81" s="346" t="s">
        <v>265</v>
      </c>
      <c r="E81" s="229" t="s">
        <v>266</v>
      </c>
      <c r="F81" s="342"/>
      <c r="G81" s="347"/>
      <c r="H81" s="381">
        <v>0.12</v>
      </c>
      <c r="I81" s="382"/>
      <c r="J81" s="382"/>
      <c r="K81" s="383">
        <f>'[1]Расчет НВВ по RAB (2011-2017)'!$I$44</f>
        <v>0.12</v>
      </c>
      <c r="L81" s="383">
        <f>'[1]Расчет НВВ по RAB (2011-2017)'!$J$44</f>
        <v>0.11</v>
      </c>
      <c r="M81" s="383">
        <f>'[1]Расчет НВВ по RAB (2011-2017)'!$K$44</f>
        <v>0.11</v>
      </c>
      <c r="N81" s="383">
        <f>'[1]Расчет НВВ по RAB (2011-2017)'!$L$44</f>
        <v>0.11</v>
      </c>
      <c r="O81" s="383">
        <f>'[1]Расчет НВВ по RAB (2011-2017)'!$M$44</f>
        <v>0.11</v>
      </c>
      <c r="P81" s="384"/>
      <c r="Q81" s="247"/>
    </row>
    <row r="82" spans="4:17" ht="12.75" hidden="1">
      <c r="D82" s="346"/>
      <c r="E82" s="235"/>
      <c r="F82" s="342"/>
      <c r="G82" s="337"/>
      <c r="H82" s="379">
        <f>1+H81</f>
        <v>1.12</v>
      </c>
      <c r="I82" s="379"/>
      <c r="J82" s="379"/>
      <c r="K82" s="379">
        <f>1+K81</f>
        <v>1.12</v>
      </c>
      <c r="L82" s="379">
        <f>1+L81</f>
        <v>1.11</v>
      </c>
      <c r="M82" s="379">
        <f>1+M81</f>
        <v>1.11</v>
      </c>
      <c r="N82" s="379">
        <f>1+N81</f>
        <v>1.11</v>
      </c>
      <c r="O82" s="379">
        <f>1+O81</f>
        <v>1.11</v>
      </c>
      <c r="P82" s="385"/>
      <c r="Q82" s="380"/>
    </row>
    <row r="83" spans="4:17" ht="12.75" hidden="1">
      <c r="D83" s="346" t="s">
        <v>267</v>
      </c>
      <c r="E83" s="235" t="s">
        <v>268</v>
      </c>
      <c r="F83" s="342" t="s">
        <v>216</v>
      </c>
      <c r="G83" s="337"/>
      <c r="H83" s="374">
        <v>3194557.43</v>
      </c>
      <c r="I83" s="386"/>
      <c r="J83" s="386"/>
      <c r="K83" s="386"/>
      <c r="L83" s="386"/>
      <c r="M83" s="386"/>
      <c r="N83" s="386"/>
      <c r="O83" s="386"/>
      <c r="P83" s="387"/>
      <c r="Q83" s="247"/>
    </row>
    <row r="84" spans="4:17" ht="12.75" hidden="1">
      <c r="D84" s="346" t="s">
        <v>269</v>
      </c>
      <c r="E84" s="235" t="s">
        <v>270</v>
      </c>
      <c r="F84" s="342" t="s">
        <v>216</v>
      </c>
      <c r="G84" s="337"/>
      <c r="H84" s="374">
        <v>3027716.9853061596</v>
      </c>
      <c r="I84" s="386"/>
      <c r="J84" s="386"/>
      <c r="K84" s="386"/>
      <c r="L84" s="386"/>
      <c r="M84" s="386"/>
      <c r="N84" s="386"/>
      <c r="O84" s="386"/>
      <c r="P84" s="387"/>
      <c r="Q84" s="247"/>
    </row>
    <row r="85" spans="4:16" ht="12.75" hidden="1">
      <c r="D85" s="346" t="s">
        <v>271</v>
      </c>
      <c r="E85" s="235" t="s">
        <v>272</v>
      </c>
      <c r="F85" s="342" t="s">
        <v>89</v>
      </c>
      <c r="G85" s="337"/>
      <c r="H85" s="388">
        <v>0.05222646590324109</v>
      </c>
      <c r="I85" s="386"/>
      <c r="J85" s="386"/>
      <c r="K85" s="386"/>
      <c r="L85" s="386"/>
      <c r="M85" s="386"/>
      <c r="N85" s="386"/>
      <c r="O85" s="386"/>
      <c r="P85" s="387"/>
    </row>
    <row r="86" spans="4:16" ht="12.75" hidden="1">
      <c r="D86" s="346" t="s">
        <v>273</v>
      </c>
      <c r="E86" s="235" t="s">
        <v>274</v>
      </c>
      <c r="F86" s="342"/>
      <c r="G86" s="389"/>
      <c r="H86" s="386"/>
      <c r="I86" s="386"/>
      <c r="J86" s="386"/>
      <c r="K86" s="386"/>
      <c r="L86" s="386"/>
      <c r="M86" s="386"/>
      <c r="N86" s="386"/>
      <c r="O86" s="386"/>
      <c r="P86" s="387"/>
    </row>
    <row r="87" spans="4:16" ht="12.75" hidden="1">
      <c r="D87" s="351" t="s">
        <v>275</v>
      </c>
      <c r="E87" s="352">
        <v>2009</v>
      </c>
      <c r="F87" s="353"/>
      <c r="G87" s="390"/>
      <c r="H87" s="391"/>
      <c r="I87" s="355"/>
      <c r="J87" s="355"/>
      <c r="K87" s="355"/>
      <c r="L87" s="355"/>
      <c r="M87" s="355"/>
      <c r="N87" s="355"/>
      <c r="O87" s="355"/>
      <c r="P87" s="392"/>
    </row>
    <row r="88" spans="4:16" ht="12.75" hidden="1">
      <c r="D88" s="351" t="s">
        <v>276</v>
      </c>
      <c r="E88" s="352">
        <v>2010</v>
      </c>
      <c r="F88" s="353"/>
      <c r="G88" s="393"/>
      <c r="H88" s="391"/>
      <c r="I88" s="355"/>
      <c r="J88" s="355"/>
      <c r="K88" s="355"/>
      <c r="L88" s="355"/>
      <c r="M88" s="355"/>
      <c r="N88" s="355"/>
      <c r="O88" s="355"/>
      <c r="P88" s="392"/>
    </row>
    <row r="89" spans="4:16" ht="12.75" hidden="1">
      <c r="D89" s="346" t="s">
        <v>277</v>
      </c>
      <c r="E89" s="229">
        <v>2011</v>
      </c>
      <c r="F89" s="342" t="s">
        <v>216</v>
      </c>
      <c r="G89" s="389"/>
      <c r="H89" s="386"/>
      <c r="I89" s="394">
        <v>0</v>
      </c>
      <c r="J89" s="304" t="e">
        <f>K89-I89</f>
        <v>#NAME?</v>
      </c>
      <c r="K89" s="395" t="e">
        <f>nerr(H68/H71)</f>
        <v>#NAME?</v>
      </c>
      <c r="L89" s="395" t="e">
        <f>nerr(H68/H71)</f>
        <v>#NAME?</v>
      </c>
      <c r="M89" s="395" t="e">
        <f>nerr(H68/H71)</f>
        <v>#NAME?</v>
      </c>
      <c r="N89" s="395" t="e">
        <f>nerr(H68/H71)</f>
        <v>#NAME?</v>
      </c>
      <c r="O89" s="395" t="e">
        <f>nerr(H68/H71)</f>
        <v>#NAME?</v>
      </c>
      <c r="P89" s="277" t="e">
        <f>nerr(H68/H71)</f>
        <v>#NAME?</v>
      </c>
    </row>
    <row r="90" spans="4:16" ht="34.5" hidden="1" thickBot="1">
      <c r="D90" s="396" t="s">
        <v>278</v>
      </c>
      <c r="E90" s="397" t="s">
        <v>279</v>
      </c>
      <c r="F90" s="398"/>
      <c r="G90" s="399"/>
      <c r="H90" s="400">
        <v>91273.06942857143</v>
      </c>
      <c r="I90" s="401"/>
      <c r="J90" s="401"/>
      <c r="K90" s="402">
        <f>H90</f>
        <v>91273.06942857143</v>
      </c>
      <c r="L90" s="401"/>
      <c r="M90" s="401"/>
      <c r="N90" s="401"/>
      <c r="O90" s="401"/>
      <c r="P90" s="403"/>
    </row>
    <row r="91" spans="4:16" ht="13.5" hidden="1" thickBot="1">
      <c r="D91" s="404"/>
      <c r="E91" s="405"/>
      <c r="F91" s="406"/>
      <c r="G91" s="407"/>
      <c r="H91" s="408"/>
      <c r="I91" s="408"/>
      <c r="J91" s="408"/>
      <c r="K91" s="409"/>
      <c r="L91" s="409"/>
      <c r="M91" s="409"/>
      <c r="N91" s="409"/>
      <c r="O91" s="409"/>
      <c r="P91" s="410"/>
    </row>
    <row r="92" spans="4:18" s="177" customFormat="1" ht="12.75" hidden="1">
      <c r="D92" s="411"/>
      <c r="E92" s="412"/>
      <c r="F92" s="413"/>
      <c r="G92" s="414"/>
      <c r="H92" s="414"/>
      <c r="I92" s="414"/>
      <c r="J92" s="414"/>
      <c r="K92" s="414"/>
      <c r="L92" s="414"/>
      <c r="M92" s="414"/>
      <c r="N92" s="414"/>
      <c r="O92" s="414"/>
      <c r="P92" s="414"/>
      <c r="R92" s="160"/>
    </row>
    <row r="93" spans="4:16" ht="12" hidden="1" thickBot="1">
      <c r="D93" s="780" t="s">
        <v>280</v>
      </c>
      <c r="E93" s="781"/>
      <c r="F93" s="782"/>
      <c r="G93" s="333"/>
      <c r="H93" s="220"/>
      <c r="I93" s="220"/>
      <c r="J93" s="220"/>
      <c r="K93" s="220"/>
      <c r="L93" s="220"/>
      <c r="M93" s="220"/>
      <c r="N93" s="220"/>
      <c r="O93" s="783"/>
      <c r="P93" s="784"/>
    </row>
    <row r="94" spans="4:16" ht="11.25" hidden="1">
      <c r="D94" s="264" t="s">
        <v>281</v>
      </c>
      <c r="E94" s="222" t="s">
        <v>282</v>
      </c>
      <c r="F94" s="415" t="s">
        <v>283</v>
      </c>
      <c r="G94" s="416">
        <v>890.276</v>
      </c>
      <c r="H94" s="417">
        <v>855.214</v>
      </c>
      <c r="I94" s="417">
        <v>445.89</v>
      </c>
      <c r="J94" s="417">
        <v>428.5828434504793</v>
      </c>
      <c r="K94" s="418">
        <f>I94+J94</f>
        <v>874.4728434504793</v>
      </c>
      <c r="L94" s="417">
        <v>890.9965332618025</v>
      </c>
      <c r="M94" s="417">
        <v>894.1912297678723</v>
      </c>
      <c r="N94" s="417">
        <v>905.7262966318776</v>
      </c>
      <c r="O94" s="417">
        <v>916.2327216728074</v>
      </c>
      <c r="P94" s="419">
        <v>926.3112816112084</v>
      </c>
    </row>
    <row r="95" spans="4:16" ht="22.5" hidden="1">
      <c r="D95" s="420" t="s">
        <v>284</v>
      </c>
      <c r="E95" s="235" t="s">
        <v>285</v>
      </c>
      <c r="F95" s="421" t="s">
        <v>89</v>
      </c>
      <c r="G95" s="422">
        <v>0.094</v>
      </c>
      <c r="H95" s="423">
        <v>0.0924</v>
      </c>
      <c r="I95" s="423">
        <v>0.0939</v>
      </c>
      <c r="J95" s="423">
        <v>0.0939</v>
      </c>
      <c r="K95" s="424">
        <f>IF(K94=0,0,K96/K94)</f>
        <v>0.09389999999999998</v>
      </c>
      <c r="L95" s="423">
        <v>0.09296099999999999</v>
      </c>
      <c r="M95" s="423">
        <v>0.092682117</v>
      </c>
      <c r="N95" s="423">
        <v>0.092404070649</v>
      </c>
      <c r="O95" s="423">
        <v>0.092126858437053</v>
      </c>
      <c r="P95" s="425">
        <v>0.09185047786174184</v>
      </c>
    </row>
    <row r="96" spans="4:16" ht="22.5" hidden="1">
      <c r="D96" s="426" t="s">
        <v>286</v>
      </c>
      <c r="E96" s="235" t="s">
        <v>287</v>
      </c>
      <c r="F96" s="421" t="s">
        <v>283</v>
      </c>
      <c r="G96" s="427">
        <f>G94*G95</f>
        <v>83.68594399999999</v>
      </c>
      <c r="H96" s="395">
        <f>H94*H95</f>
        <v>79.0217736</v>
      </c>
      <c r="I96" s="395">
        <f>I94*I95</f>
        <v>41.869071</v>
      </c>
      <c r="J96" s="395">
        <f>J94*J95</f>
        <v>40.243929</v>
      </c>
      <c r="K96" s="428">
        <f>I96+J96</f>
        <v>82.113</v>
      </c>
      <c r="L96" s="395">
        <f>L94*L95</f>
        <v>82.8279287285504</v>
      </c>
      <c r="M96" s="395">
        <f>M94*M95</f>
        <v>82.87553617771982</v>
      </c>
      <c r="N96" s="395">
        <f>N94*N95</f>
        <v>83.69279670262915</v>
      </c>
      <c r="O96" s="395">
        <f>O94*O95</f>
        <v>84.40964224494651</v>
      </c>
      <c r="P96" s="429">
        <f>P94*P95</f>
        <v>85.08213386471202</v>
      </c>
    </row>
    <row r="97" spans="4:16" ht="12.75" hidden="1">
      <c r="D97" s="426" t="s">
        <v>288</v>
      </c>
      <c r="E97" s="235" t="s">
        <v>289</v>
      </c>
      <c r="F97" s="421" t="s">
        <v>290</v>
      </c>
      <c r="G97" s="427">
        <f aca="true" t="shared" si="7" ref="G97:P97">G98+G99+G100</f>
        <v>836.9</v>
      </c>
      <c r="H97" s="395">
        <f t="shared" si="7"/>
        <v>1561.6467262270442</v>
      </c>
      <c r="I97" s="395">
        <f t="shared" si="7"/>
        <v>1339.0800266717167</v>
      </c>
      <c r="J97" s="395">
        <f t="shared" si="7"/>
        <v>1477.8167730243235</v>
      </c>
      <c r="K97" s="428">
        <f t="shared" si="7"/>
        <v>1407.0754935272125</v>
      </c>
      <c r="L97" s="395">
        <f t="shared" si="7"/>
        <v>1545.6964475268421</v>
      </c>
      <c r="M97" s="395">
        <f t="shared" si="7"/>
        <v>1700.2660922795264</v>
      </c>
      <c r="N97" s="395">
        <f t="shared" si="7"/>
        <v>1870.2927015074793</v>
      </c>
      <c r="O97" s="395">
        <f t="shared" si="7"/>
        <v>2057.3219716582275</v>
      </c>
      <c r="P97" s="429">
        <f t="shared" si="7"/>
        <v>2263.0541688240505</v>
      </c>
    </row>
    <row r="98" spans="4:16" ht="12.75" hidden="1">
      <c r="D98" s="426" t="s">
        <v>291</v>
      </c>
      <c r="E98" s="229" t="s">
        <v>292</v>
      </c>
      <c r="F98" s="421" t="s">
        <v>290</v>
      </c>
      <c r="G98" s="430">
        <v>766.2</v>
      </c>
      <c r="H98" s="394">
        <v>1487.446726227044</v>
      </c>
      <c r="I98" s="394">
        <v>1256.5800266717167</v>
      </c>
      <c r="J98" s="394">
        <v>1368.8979241662114</v>
      </c>
      <c r="K98" s="394">
        <v>1318.139333618022</v>
      </c>
      <c r="L98" s="394">
        <v>1447.9985577826935</v>
      </c>
      <c r="M98" s="394">
        <v>1592.798413560963</v>
      </c>
      <c r="N98" s="394">
        <v>1752.0782549170594</v>
      </c>
      <c r="O98" s="394">
        <v>1927.2860804087654</v>
      </c>
      <c r="P98" s="431">
        <v>2120.014688449642</v>
      </c>
    </row>
    <row r="99" spans="4:16" ht="12.75" hidden="1">
      <c r="D99" s="426" t="s">
        <v>293</v>
      </c>
      <c r="E99" s="229" t="s">
        <v>294</v>
      </c>
      <c r="F99" s="421" t="s">
        <v>290</v>
      </c>
      <c r="G99" s="430">
        <v>69.9</v>
      </c>
      <c r="H99" s="394">
        <v>71.3</v>
      </c>
      <c r="I99" s="394">
        <v>80.4</v>
      </c>
      <c r="J99" s="394">
        <v>106.71584885811214</v>
      </c>
      <c r="K99" s="394">
        <v>86.76332989193664</v>
      </c>
      <c r="L99" s="394">
        <v>95.31099888136335</v>
      </c>
      <c r="M99" s="394">
        <v>104.84209876949969</v>
      </c>
      <c r="N99" s="394">
        <v>115.32630864644966</v>
      </c>
      <c r="O99" s="394">
        <v>126.85893951109463</v>
      </c>
      <c r="P99" s="431">
        <v>139.5448334622041</v>
      </c>
    </row>
    <row r="100" spans="4:16" ht="12.75" hidden="1">
      <c r="D100" s="426" t="s">
        <v>295</v>
      </c>
      <c r="E100" s="229" t="s">
        <v>296</v>
      </c>
      <c r="F100" s="421" t="s">
        <v>290</v>
      </c>
      <c r="G100" s="430">
        <v>0.8</v>
      </c>
      <c r="H100" s="394">
        <v>2.9</v>
      </c>
      <c r="I100" s="394">
        <v>2.1</v>
      </c>
      <c r="J100" s="394">
        <v>2.2030000000000003</v>
      </c>
      <c r="K100" s="394">
        <v>2.1728300172540465</v>
      </c>
      <c r="L100" s="394">
        <v>2.386890862785333</v>
      </c>
      <c r="M100" s="394">
        <v>2.6255799490638667</v>
      </c>
      <c r="N100" s="394">
        <v>2.8881379439702535</v>
      </c>
      <c r="O100" s="394">
        <v>3.176951738367279</v>
      </c>
      <c r="P100" s="431">
        <v>3.4946469122040074</v>
      </c>
    </row>
    <row r="101" spans="4:16" ht="22.5" hidden="1">
      <c r="D101" s="426" t="s">
        <v>297</v>
      </c>
      <c r="E101" s="235" t="s">
        <v>298</v>
      </c>
      <c r="F101" s="421" t="s">
        <v>216</v>
      </c>
      <c r="G101" s="432">
        <f aca="true" t="shared" si="8" ref="G101:P101">G96*G97</f>
        <v>70036.76653359999</v>
      </c>
      <c r="H101" s="433">
        <f t="shared" si="8"/>
        <v>123404.09404309466</v>
      </c>
      <c r="I101" s="433">
        <f t="shared" si="8"/>
        <v>56066.0367114</v>
      </c>
      <c r="J101" s="433">
        <f t="shared" si="8"/>
        <v>59473.15328859999</v>
      </c>
      <c r="K101" s="433">
        <f t="shared" si="8"/>
        <v>115539.19</v>
      </c>
      <c r="L101" s="433">
        <f t="shared" si="8"/>
        <v>128026.83519172683</v>
      </c>
      <c r="M101" s="433">
        <f t="shared" si="8"/>
        <v>140910.4640424622</v>
      </c>
      <c r="N101" s="433">
        <f t="shared" si="8"/>
        <v>156530.02684167653</v>
      </c>
      <c r="O101" s="433">
        <f t="shared" si="8"/>
        <v>173657.81161033898</v>
      </c>
      <c r="P101" s="434">
        <f t="shared" si="8"/>
        <v>192545.47773498247</v>
      </c>
    </row>
    <row r="102" spans="4:16" ht="22.5" hidden="1">
      <c r="D102" s="426" t="s">
        <v>60</v>
      </c>
      <c r="E102" s="235" t="s">
        <v>287</v>
      </c>
      <c r="F102" s="421" t="s">
        <v>89</v>
      </c>
      <c r="G102" s="435"/>
      <c r="H102" s="424">
        <f aca="true" t="shared" si="9" ref="H102:H107">IF(G96=0,0,(H96-G96)/G96)</f>
        <v>-0.05573421505527845</v>
      </c>
      <c r="I102" s="436"/>
      <c r="J102" s="436"/>
      <c r="K102" s="424">
        <f aca="true" t="shared" si="10" ref="K102:K107">IF(H96=0,0,(K96-H96)/H96)</f>
        <v>0.03911866640259763</v>
      </c>
      <c r="L102" s="424">
        <f aca="true" t="shared" si="11" ref="L102:P107">IF(K96=0,0,(L96-K96)/K96)</f>
        <v>0.008706644849785106</v>
      </c>
      <c r="M102" s="424">
        <f t="shared" si="11"/>
        <v>0.000574775319149193</v>
      </c>
      <c r="N102" s="424">
        <f t="shared" si="11"/>
        <v>0.00986129999999977</v>
      </c>
      <c r="O102" s="424">
        <f t="shared" si="11"/>
        <v>0.00856519999999999</v>
      </c>
      <c r="P102" s="437">
        <f t="shared" si="11"/>
        <v>0.00796700000000024</v>
      </c>
    </row>
    <row r="103" spans="4:16" ht="12.75" hidden="1">
      <c r="D103" s="426" t="s">
        <v>61</v>
      </c>
      <c r="E103" s="235" t="s">
        <v>289</v>
      </c>
      <c r="F103" s="421" t="s">
        <v>89</v>
      </c>
      <c r="G103" s="435"/>
      <c r="H103" s="424">
        <f t="shared" si="9"/>
        <v>0.8659896358310959</v>
      </c>
      <c r="I103" s="436"/>
      <c r="J103" s="436"/>
      <c r="K103" s="424">
        <f t="shared" si="10"/>
        <v>-0.0989796412363233</v>
      </c>
      <c r="L103" s="424">
        <f t="shared" si="11"/>
        <v>0.09851706936643388</v>
      </c>
      <c r="M103" s="424">
        <f t="shared" si="11"/>
        <v>0.10000000000000007</v>
      </c>
      <c r="N103" s="424">
        <f t="shared" si="11"/>
        <v>0.10000000000000009</v>
      </c>
      <c r="O103" s="424">
        <f t="shared" si="11"/>
        <v>0.1000000000000002</v>
      </c>
      <c r="P103" s="437">
        <f t="shared" si="11"/>
        <v>0.10000000000000012</v>
      </c>
    </row>
    <row r="104" spans="4:16" ht="13.5" customHeight="1" hidden="1">
      <c r="D104" s="426" t="s">
        <v>299</v>
      </c>
      <c r="E104" s="235" t="s">
        <v>292</v>
      </c>
      <c r="F104" s="421" t="s">
        <v>89</v>
      </c>
      <c r="G104" s="435"/>
      <c r="H104" s="424">
        <f t="shared" si="9"/>
        <v>0.9413295826508014</v>
      </c>
      <c r="I104" s="436"/>
      <c r="J104" s="436"/>
      <c r="K104" s="424">
        <f t="shared" si="10"/>
        <v>-0.11382417240479982</v>
      </c>
      <c r="L104" s="424">
        <f t="shared" si="11"/>
        <v>0.09851706936643385</v>
      </c>
      <c r="M104" s="424">
        <f t="shared" si="11"/>
        <v>0.10000000000000002</v>
      </c>
      <c r="N104" s="424">
        <f t="shared" si="11"/>
        <v>0.10000000000000016</v>
      </c>
      <c r="O104" s="424">
        <f t="shared" si="11"/>
        <v>0.10000000000000002</v>
      </c>
      <c r="P104" s="437">
        <f t="shared" si="11"/>
        <v>0.10000000000000007</v>
      </c>
    </row>
    <row r="105" spans="4:16" ht="13.5" customHeight="1" hidden="1">
      <c r="D105" s="426" t="s">
        <v>300</v>
      </c>
      <c r="E105" s="235" t="s">
        <v>294</v>
      </c>
      <c r="F105" s="421" t="s">
        <v>89</v>
      </c>
      <c r="G105" s="435"/>
      <c r="H105" s="424">
        <f t="shared" si="9"/>
        <v>0.02002861230329029</v>
      </c>
      <c r="I105" s="436"/>
      <c r="J105" s="436"/>
      <c r="K105" s="424">
        <f t="shared" si="10"/>
        <v>0.21687699708186028</v>
      </c>
      <c r="L105" s="424">
        <f t="shared" si="11"/>
        <v>0.09851706936643392</v>
      </c>
      <c r="M105" s="424">
        <f t="shared" si="11"/>
        <v>0.10000000000000005</v>
      </c>
      <c r="N105" s="424">
        <f t="shared" si="11"/>
        <v>0.10000000000000006</v>
      </c>
      <c r="O105" s="424">
        <f t="shared" si="11"/>
        <v>0.10000000000000005</v>
      </c>
      <c r="P105" s="437">
        <f t="shared" si="11"/>
        <v>0.10000000000000012</v>
      </c>
    </row>
    <row r="106" spans="4:16" ht="12" customHeight="1" hidden="1">
      <c r="D106" s="426" t="s">
        <v>301</v>
      </c>
      <c r="E106" s="235" t="s">
        <v>296</v>
      </c>
      <c r="F106" s="421" t="s">
        <v>89</v>
      </c>
      <c r="G106" s="435"/>
      <c r="H106" s="424">
        <f t="shared" si="9"/>
        <v>2.6249999999999996</v>
      </c>
      <c r="I106" s="436"/>
      <c r="J106" s="436"/>
      <c r="K106" s="424">
        <f t="shared" si="10"/>
        <v>-0.25074826991239774</v>
      </c>
      <c r="L106" s="424">
        <f t="shared" si="11"/>
        <v>0.09851706936643391</v>
      </c>
      <c r="M106" s="424">
        <f t="shared" si="11"/>
        <v>0.10000000000000012</v>
      </c>
      <c r="N106" s="424">
        <f t="shared" si="11"/>
        <v>0.10000000000000003</v>
      </c>
      <c r="O106" s="424">
        <f t="shared" si="11"/>
        <v>0.10000000000000012</v>
      </c>
      <c r="P106" s="437">
        <f t="shared" si="11"/>
        <v>0.10000000000000009</v>
      </c>
    </row>
    <row r="107" spans="4:16" ht="14.25" customHeight="1" hidden="1" thickBot="1">
      <c r="D107" s="438" t="s">
        <v>62</v>
      </c>
      <c r="E107" s="397" t="s">
        <v>298</v>
      </c>
      <c r="F107" s="439" t="s">
        <v>89</v>
      </c>
      <c r="G107" s="440"/>
      <c r="H107" s="441">
        <f t="shared" si="9"/>
        <v>0.7619901681767648</v>
      </c>
      <c r="I107" s="442"/>
      <c r="J107" s="442"/>
      <c r="K107" s="441">
        <f t="shared" si="10"/>
        <v>-0.06373292639989815</v>
      </c>
      <c r="L107" s="441">
        <f t="shared" si="11"/>
        <v>0.10808146735083418</v>
      </c>
      <c r="M107" s="441">
        <f t="shared" si="11"/>
        <v>0.10063225285106417</v>
      </c>
      <c r="N107" s="441">
        <f t="shared" si="11"/>
        <v>0.11084742999999986</v>
      </c>
      <c r="O107" s="441">
        <f t="shared" si="11"/>
        <v>0.1094217200000002</v>
      </c>
      <c r="P107" s="443">
        <f t="shared" si="11"/>
        <v>0.10876370000000041</v>
      </c>
    </row>
    <row r="108" ht="12.75" hidden="1">
      <c r="K108" s="444"/>
    </row>
  </sheetData>
  <mergeCells count="7">
    <mergeCell ref="D4:P4"/>
    <mergeCell ref="D55:F55"/>
    <mergeCell ref="D66:F66"/>
    <mergeCell ref="D93:F93"/>
    <mergeCell ref="O93:P93"/>
    <mergeCell ref="G5:P5"/>
    <mergeCell ref="D7:E7"/>
  </mergeCells>
  <dataValidations count="1">
    <dataValidation type="decimal" allowBlank="1" showErrorMessage="1" errorTitle="Ошибка" error="Допускается ввод только действительных чисел!" sqref="G94:J95 G8:P9 G98:P100 L42:P43 L45:P48 L50:P51 L94:P95 I16:J16 G11:G16 G21:H23 G25:H25 G27:H37 I38 G42:J43 H11:P14 G45:J48 G49:H49 G50:J51 G56:H56 G57:I61 G64:H64 H67:H71 G75:G76 I77 H79 H83:H85 I89 H90">
      <formula1>-999999999999999000000000</formula1>
      <formula2>9.99999999999999E+23</formula2>
    </dataValidation>
  </dataValidations>
  <printOptions/>
  <pageMargins left="0.11811023622047245" right="0.11811023622047245" top="0.11811023622047245" bottom="0.11811023622047245" header="0.5118110236220472" footer="0.5118110236220472"/>
  <pageSetup fitToWidth="3" fitToHeight="1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3"/>
  <sheetViews>
    <sheetView tabSelected="1" workbookViewId="0" topLeftCell="D3">
      <selection activeCell="L39" sqref="K39:L44"/>
    </sheetView>
  </sheetViews>
  <sheetFormatPr defaultColWidth="9.00390625" defaultRowHeight="12.75"/>
  <cols>
    <col min="1" max="2" width="0" style="160" hidden="1" customWidth="1"/>
    <col min="3" max="3" width="2.875" style="160" customWidth="1"/>
    <col min="4" max="4" width="6.875" style="160" customWidth="1"/>
    <col min="5" max="5" width="53.875" style="160" customWidth="1"/>
    <col min="6" max="6" width="10.50390625" style="160" customWidth="1"/>
    <col min="7" max="7" width="13.125" style="445" customWidth="1"/>
    <col min="8" max="8" width="13.625" style="445" customWidth="1"/>
    <col min="9" max="14" width="14.00390625" style="161" customWidth="1"/>
    <col min="15" max="16384" width="9.125" style="160" customWidth="1"/>
  </cols>
  <sheetData>
    <row r="1" spans="1:8" ht="11.25" hidden="1">
      <c r="A1" s="159"/>
      <c r="G1" s="161"/>
      <c r="H1" s="161"/>
    </row>
    <row r="2" ht="11.25" hidden="1"/>
    <row r="3" ht="12" thickBot="1"/>
    <row r="4" spans="4:14" ht="24.75" customHeight="1" thickBot="1">
      <c r="D4" s="793" t="s">
        <v>302</v>
      </c>
      <c r="E4" s="794"/>
      <c r="F4" s="794"/>
      <c r="G4" s="794"/>
      <c r="H4" s="794"/>
      <c r="I4" s="794"/>
      <c r="J4" s="794"/>
      <c r="K4" s="794"/>
      <c r="L4" s="794"/>
      <c r="M4" s="794"/>
      <c r="N4" s="795"/>
    </row>
    <row r="5" spans="5:14" ht="15" customHeight="1">
      <c r="E5" s="162" t="s">
        <v>199</v>
      </c>
      <c r="F5" s="446"/>
      <c r="G5" s="796">
        <f>IF('[1]Справочники'!$L$18="Индексация","В данный момент по этой организации выбран метод долгосрочной индексации!","")</f>
      </c>
      <c r="H5" s="797"/>
      <c r="I5" s="797"/>
      <c r="J5" s="797"/>
      <c r="K5" s="797"/>
      <c r="L5" s="797"/>
      <c r="M5" s="797"/>
      <c r="N5" s="798"/>
    </row>
    <row r="6" spans="5:14" ht="11.25" customHeight="1">
      <c r="E6" s="164"/>
      <c r="F6" s="447"/>
      <c r="G6" s="790" t="str">
        <f>'[1]Справочники'!$G$18</f>
        <v>ОАО "Городские электрические сети" г.Нижневартовск</v>
      </c>
      <c r="H6" s="791"/>
      <c r="I6" s="791"/>
      <c r="J6" s="791"/>
      <c r="K6" s="791"/>
      <c r="L6" s="791"/>
      <c r="M6" s="791"/>
      <c r="N6" s="792"/>
    </row>
    <row r="7" spans="4:14" ht="29.25" customHeight="1" thickBot="1">
      <c r="D7" s="448" t="s">
        <v>0</v>
      </c>
      <c r="E7" s="449" t="s">
        <v>303</v>
      </c>
      <c r="F7" s="450" t="s">
        <v>72</v>
      </c>
      <c r="G7" s="169" t="s">
        <v>200</v>
      </c>
      <c r="H7" s="170" t="s">
        <v>201</v>
      </c>
      <c r="I7" s="451" t="s">
        <v>304</v>
      </c>
      <c r="J7" s="451" t="str">
        <f>IF('[1]Справочники'!$L$18="Индексация","2013(ИНД)","2013")</f>
        <v>2013</v>
      </c>
      <c r="K7" s="451" t="str">
        <f>IF('[1]Справочники'!$L$18="Индексация","2014(ИНД)","2014")</f>
        <v>2014</v>
      </c>
      <c r="L7" s="451" t="str">
        <f>IF('[1]Справочники'!$L$18="Индексация","2015(ИНД)","2015")</f>
        <v>2015</v>
      </c>
      <c r="M7" s="451" t="str">
        <f>IF('[1]Справочники'!$L$18="Индексация","2016(ИНД)","2016")</f>
        <v>2016</v>
      </c>
      <c r="N7" s="452" t="str">
        <f>IF('[1]Справочники'!$L$18="Индексация","2017(ИНД)","2017")</f>
        <v>2017</v>
      </c>
    </row>
    <row r="8" spans="4:14" ht="11.25">
      <c r="D8" s="453">
        <v>1</v>
      </c>
      <c r="E8" s="454" t="s">
        <v>305</v>
      </c>
      <c r="F8" s="455" t="s">
        <v>216</v>
      </c>
      <c r="G8" s="456">
        <f aca="true" t="shared" si="0" ref="G8:N8">SUM(G9:G18)</f>
        <v>285207.92025839945</v>
      </c>
      <c r="H8" s="457">
        <f t="shared" si="0"/>
        <v>307152.3197415999</v>
      </c>
      <c r="I8" s="457">
        <f t="shared" si="0"/>
        <v>592360.2399999994</v>
      </c>
      <c r="J8" s="457">
        <f t="shared" si="0"/>
        <v>787628</v>
      </c>
      <c r="K8" s="457">
        <f t="shared" si="0"/>
        <v>905741.0000000001</v>
      </c>
      <c r="L8" s="457">
        <f t="shared" si="0"/>
        <v>1005003</v>
      </c>
      <c r="M8" s="457">
        <f t="shared" si="0"/>
        <v>1115107.0000000005</v>
      </c>
      <c r="N8" s="458">
        <f t="shared" si="0"/>
        <v>1237230.0000000005</v>
      </c>
    </row>
    <row r="9" spans="4:14" ht="11.25">
      <c r="D9" s="459">
        <v>2</v>
      </c>
      <c r="E9" s="460" t="s">
        <v>306</v>
      </c>
      <c r="F9" s="461" t="s">
        <v>216</v>
      </c>
      <c r="G9" s="243">
        <f>'[1]Расчет расх. по RAB (2011-2017)'!$I$39</f>
        <v>146497.06494754815</v>
      </c>
      <c r="H9" s="244">
        <f>'[1]Расчет расх. по RAB (2011-2017)'!$J$39</f>
        <v>146497.06494754815</v>
      </c>
      <c r="I9" s="244">
        <f>'[1]Расчет расх. по RAB (2011-2017)'!$K$39</f>
        <v>292994.1298950963</v>
      </c>
      <c r="J9" s="244">
        <f>'[1]Расчет расх. по RAB (2011-2017)'!$L$39</f>
        <v>310813.87809050037</v>
      </c>
      <c r="K9" s="244">
        <f>'[1]Расчет расх. по RAB (2011-2017)'!$M$39</f>
        <v>327227.50496076763</v>
      </c>
      <c r="L9" s="244">
        <f>'[1]Расчет расх. по RAB (2011-2017)'!$N$39</f>
        <v>342308.56614604295</v>
      </c>
      <c r="M9" s="244">
        <f>'[1]Расчет расх. по RAB (2011-2017)'!$O$39</f>
        <v>358090.0525686693</v>
      </c>
      <c r="N9" s="462">
        <f>'[1]Расчет расх. по RAB (2011-2017)'!$P$39</f>
        <v>372109.72783382516</v>
      </c>
    </row>
    <row r="10" spans="4:14" ht="11.25">
      <c r="D10" s="459">
        <v>3</v>
      </c>
      <c r="E10" s="460" t="s">
        <v>307</v>
      </c>
      <c r="F10" s="461" t="s">
        <v>216</v>
      </c>
      <c r="G10" s="243">
        <f>'[1]Расчет расх. по RAB (2011-2017)'!$I$53</f>
        <v>40433.582450906055</v>
      </c>
      <c r="H10" s="244">
        <f>'[1]Расчет расх. по RAB (2011-2017)'!$J$53</f>
        <v>40603.548082956506</v>
      </c>
      <c r="I10" s="244">
        <f>'[1]Расчет расх. по RAB (2011-2017)'!$K$53</f>
        <v>81037.13053386257</v>
      </c>
      <c r="J10" s="244">
        <f>'[1]Расчет расх. по RAB (2011-2017)'!$L$53</f>
        <v>116957.82009891918</v>
      </c>
      <c r="K10" s="244">
        <f>'[1]Расчет расх. по RAB (2011-2017)'!$M$53</f>
        <v>146373.0363755178</v>
      </c>
      <c r="L10" s="244">
        <f>'[1]Расчет расх. по RAB (2011-2017)'!$N$53</f>
        <v>163014.9200469765</v>
      </c>
      <c r="M10" s="244">
        <f>'[1]Расчет расх. по RAB (2011-2017)'!$O$53</f>
        <v>181183.39001838505</v>
      </c>
      <c r="N10" s="462">
        <f>'[1]Расчет расх. по RAB (2011-2017)'!$P$53</f>
        <v>200948.38442798064</v>
      </c>
    </row>
    <row r="11" spans="4:14" ht="11.25">
      <c r="D11" s="459">
        <v>4</v>
      </c>
      <c r="E11" s="460" t="s">
        <v>308</v>
      </c>
      <c r="F11" s="461" t="s">
        <v>216</v>
      </c>
      <c r="G11" s="243">
        <f>G29</f>
        <v>48067.55166343826</v>
      </c>
      <c r="H11" s="244">
        <f>H29</f>
        <v>48067.55166343826</v>
      </c>
      <c r="I11" s="244">
        <f aca="true" t="shared" si="1" ref="I11:N11">I29</f>
        <v>96135.10332687652</v>
      </c>
      <c r="J11" s="244">
        <f t="shared" si="1"/>
        <v>102107.58279251306</v>
      </c>
      <c r="K11" s="244">
        <f t="shared" si="1"/>
        <v>110474.19257690769</v>
      </c>
      <c r="L11" s="244">
        <f t="shared" si="1"/>
        <v>120436.51663541757</v>
      </c>
      <c r="M11" s="244">
        <f t="shared" si="1"/>
        <v>132288.60243849453</v>
      </c>
      <c r="N11" s="462">
        <f t="shared" si="1"/>
        <v>146335.02543056753</v>
      </c>
    </row>
    <row r="12" spans="4:14" ht="11.25">
      <c r="D12" s="459">
        <v>5</v>
      </c>
      <c r="E12" s="463" t="s">
        <v>309</v>
      </c>
      <c r="F12" s="461" t="s">
        <v>216</v>
      </c>
      <c r="G12" s="243">
        <f>G46</f>
        <v>29896.716709706205</v>
      </c>
      <c r="H12" s="244">
        <f>H46</f>
        <v>29896.716709706205</v>
      </c>
      <c r="I12" s="244">
        <f aca="true" t="shared" si="2" ref="I12:N12">I46</f>
        <v>59793.43341941241</v>
      </c>
      <c r="J12" s="244">
        <f t="shared" si="2"/>
        <v>317340.8227791348</v>
      </c>
      <c r="K12" s="244">
        <f t="shared" si="2"/>
        <v>379349.8173398412</v>
      </c>
      <c r="L12" s="244">
        <f t="shared" si="2"/>
        <v>405772.21839480236</v>
      </c>
      <c r="M12" s="244">
        <f t="shared" si="2"/>
        <v>438385.7664797949</v>
      </c>
      <c r="N12" s="462">
        <f t="shared" si="2"/>
        <v>478155.79710188194</v>
      </c>
    </row>
    <row r="13" spans="4:14" ht="12.75">
      <c r="D13" s="459" t="s">
        <v>281</v>
      </c>
      <c r="E13" s="464" t="s">
        <v>310</v>
      </c>
      <c r="F13" s="461" t="s">
        <v>216</v>
      </c>
      <c r="G13" s="231"/>
      <c r="H13" s="232"/>
      <c r="I13" s="244">
        <f>0</f>
        <v>0</v>
      </c>
      <c r="J13" s="465"/>
      <c r="K13" s="465"/>
      <c r="L13" s="465"/>
      <c r="M13" s="465"/>
      <c r="N13" s="466"/>
    </row>
    <row r="14" spans="4:14" ht="12.75">
      <c r="D14" s="467" t="s">
        <v>284</v>
      </c>
      <c r="E14" s="463" t="s">
        <v>311</v>
      </c>
      <c r="F14" s="461" t="s">
        <v>216</v>
      </c>
      <c r="G14" s="231"/>
      <c r="H14" s="232"/>
      <c r="I14" s="244">
        <f>G14+H14</f>
        <v>0</v>
      </c>
      <c r="J14" s="232"/>
      <c r="K14" s="232"/>
      <c r="L14" s="232"/>
      <c r="M14" s="232"/>
      <c r="N14" s="468"/>
    </row>
    <row r="15" spans="4:14" ht="12.75">
      <c r="D15" s="467" t="s">
        <v>286</v>
      </c>
      <c r="E15" s="464" t="s">
        <v>312</v>
      </c>
      <c r="F15" s="461" t="s">
        <v>216</v>
      </c>
      <c r="G15" s="231"/>
      <c r="H15" s="232"/>
      <c r="I15" s="244">
        <f>G15+H15</f>
        <v>0</v>
      </c>
      <c r="J15" s="232"/>
      <c r="K15" s="232"/>
      <c r="L15" s="232"/>
      <c r="M15" s="232"/>
      <c r="N15" s="468"/>
    </row>
    <row r="16" spans="4:14" ht="12.75">
      <c r="D16" s="469" t="s">
        <v>60</v>
      </c>
      <c r="E16" s="464" t="s">
        <v>313</v>
      </c>
      <c r="F16" s="461" t="s">
        <v>216</v>
      </c>
      <c r="G16" s="231"/>
      <c r="H16" s="232"/>
      <c r="I16" s="244">
        <f>G16+H16</f>
        <v>0</v>
      </c>
      <c r="J16" s="232"/>
      <c r="K16" s="232"/>
      <c r="L16" s="232"/>
      <c r="M16" s="232"/>
      <c r="N16" s="468"/>
    </row>
    <row r="17" spans="4:14" ht="12.75">
      <c r="D17" s="467" t="s">
        <v>61</v>
      </c>
      <c r="E17" s="464" t="s">
        <v>314</v>
      </c>
      <c r="F17" s="461" t="s">
        <v>216</v>
      </c>
      <c r="G17" s="231"/>
      <c r="H17" s="232"/>
      <c r="I17" s="244">
        <f>G17+H17</f>
        <v>0</v>
      </c>
      <c r="J17" s="232"/>
      <c r="K17" s="232"/>
      <c r="L17" s="232"/>
      <c r="M17" s="232"/>
      <c r="N17" s="468"/>
    </row>
    <row r="18" spans="4:14" ht="13.5" thickBot="1">
      <c r="D18" s="470" t="s">
        <v>63</v>
      </c>
      <c r="E18" s="471" t="s">
        <v>264</v>
      </c>
      <c r="F18" s="472" t="s">
        <v>216</v>
      </c>
      <c r="G18" s="473">
        <v>20313.004486800754</v>
      </c>
      <c r="H18" s="474">
        <v>42087.43833795081</v>
      </c>
      <c r="I18" s="475">
        <f>G18+H18</f>
        <v>62400.44282475156</v>
      </c>
      <c r="J18" s="474">
        <v>-59592.1037610674</v>
      </c>
      <c r="K18" s="474">
        <v>-57683.55125303413</v>
      </c>
      <c r="L18" s="474">
        <v>-26529.2212232393</v>
      </c>
      <c r="M18" s="474">
        <v>5159.188494656622</v>
      </c>
      <c r="N18" s="476">
        <v>39681.06520574508</v>
      </c>
    </row>
    <row r="19" spans="4:14" ht="11.25">
      <c r="D19" s="414"/>
      <c r="E19" s="477"/>
      <c r="F19" s="478"/>
      <c r="G19" s="479"/>
      <c r="H19" s="479"/>
      <c r="I19" s="479"/>
      <c r="J19" s="479"/>
      <c r="K19" s="479"/>
      <c r="L19" s="479"/>
      <c r="M19" s="479"/>
      <c r="N19" s="479"/>
    </row>
    <row r="20" spans="4:14" ht="11.25">
      <c r="D20" s="480" t="s">
        <v>64</v>
      </c>
      <c r="E20" s="481" t="s">
        <v>315</v>
      </c>
      <c r="F20" s="482" t="s">
        <v>216</v>
      </c>
      <c r="G20" s="483">
        <f aca="true" t="shared" si="3" ref="G20:N20">G29+G46</f>
        <v>77964.26837314447</v>
      </c>
      <c r="H20" s="484">
        <f t="shared" si="3"/>
        <v>77964.26837314447</v>
      </c>
      <c r="I20" s="484">
        <f t="shared" si="3"/>
        <v>155928.53674628894</v>
      </c>
      <c r="J20" s="484">
        <f t="shared" si="3"/>
        <v>419448.40557164786</v>
      </c>
      <c r="K20" s="484">
        <f t="shared" si="3"/>
        <v>489824.0099167489</v>
      </c>
      <c r="L20" s="484">
        <f t="shared" si="3"/>
        <v>526208.7350302199</v>
      </c>
      <c r="M20" s="484">
        <f t="shared" si="3"/>
        <v>570674.3689182894</v>
      </c>
      <c r="N20" s="485">
        <f t="shared" si="3"/>
        <v>624490.8225324495</v>
      </c>
    </row>
    <row r="21" spans="4:14" ht="11.25">
      <c r="D21" s="459"/>
      <c r="E21" s="486" t="s">
        <v>316</v>
      </c>
      <c r="F21" s="461"/>
      <c r="G21" s="487"/>
      <c r="H21" s="465"/>
      <c r="I21" s="465"/>
      <c r="J21" s="465"/>
      <c r="K21" s="465"/>
      <c r="L21" s="465"/>
      <c r="M21" s="465"/>
      <c r="N21" s="466"/>
    </row>
    <row r="22" spans="4:14" ht="12.75">
      <c r="D22" s="459" t="s">
        <v>65</v>
      </c>
      <c r="E22" s="464" t="s">
        <v>270</v>
      </c>
      <c r="F22" s="461" t="s">
        <v>216</v>
      </c>
      <c r="G22" s="488">
        <v>3027716.9853061596</v>
      </c>
      <c r="H22" s="465"/>
      <c r="I22" s="465"/>
      <c r="J22" s="465"/>
      <c r="K22" s="465"/>
      <c r="L22" s="465"/>
      <c r="M22" s="465"/>
      <c r="N22" s="466"/>
    </row>
    <row r="23" spans="4:14" ht="12.75">
      <c r="D23" s="459" t="s">
        <v>317</v>
      </c>
      <c r="E23" s="464" t="s">
        <v>318</v>
      </c>
      <c r="F23" s="461" t="s">
        <v>216</v>
      </c>
      <c r="G23" s="231">
        <v>3194557.43</v>
      </c>
      <c r="H23" s="232">
        <v>3194557.43</v>
      </c>
      <c r="I23" s="244">
        <f>SUM('[1]Расчет расх. по RAB (2011-2017)'!$G$69:$I$69)</f>
        <v>170171.186440678</v>
      </c>
      <c r="J23" s="244">
        <f>I23+I25</f>
        <v>379207.967737957</v>
      </c>
      <c r="K23" s="244">
        <f>J23+J25</f>
        <v>672039.310191769</v>
      </c>
      <c r="L23" s="244">
        <f>K23+K25</f>
        <v>1020720.6522396151</v>
      </c>
      <c r="M23" s="244">
        <f>L23+L25</f>
        <v>1435543.655347309</v>
      </c>
      <c r="N23" s="462">
        <f>M23+M25</f>
        <v>1927168.460069864</v>
      </c>
    </row>
    <row r="24" spans="4:14" ht="12.75">
      <c r="D24" s="459" t="s">
        <v>319</v>
      </c>
      <c r="E24" s="489" t="s">
        <v>320</v>
      </c>
      <c r="F24" s="461" t="s">
        <v>216</v>
      </c>
      <c r="G24" s="231">
        <v>104518.3906486395</v>
      </c>
      <c r="H24" s="232">
        <v>104518.3906486395</v>
      </c>
      <c r="I24" s="244">
        <f>G24+H24</f>
        <v>209036.781297279</v>
      </c>
      <c r="J24" s="232">
        <v>292831.342453812</v>
      </c>
      <c r="K24" s="232">
        <v>348681.342047846</v>
      </c>
      <c r="L24" s="232">
        <v>414823.003107694</v>
      </c>
      <c r="M24" s="232">
        <v>491624.804722555</v>
      </c>
      <c r="N24" s="468">
        <v>577333.453077004</v>
      </c>
    </row>
    <row r="25" spans="4:14" ht="12.75">
      <c r="D25" s="459" t="s">
        <v>321</v>
      </c>
      <c r="E25" s="490" t="s">
        <v>322</v>
      </c>
      <c r="F25" s="461" t="s">
        <v>216</v>
      </c>
      <c r="G25" s="231">
        <v>104518.3906486395</v>
      </c>
      <c r="H25" s="232">
        <v>104518.3906486395</v>
      </c>
      <c r="I25" s="244">
        <f>G25+H25</f>
        <v>209036.781297279</v>
      </c>
      <c r="J25" s="232">
        <v>292831.342453812</v>
      </c>
      <c r="K25" s="232">
        <v>348681.342047846</v>
      </c>
      <c r="L25" s="232">
        <v>414823.003107694</v>
      </c>
      <c r="M25" s="232">
        <v>491624.804722555</v>
      </c>
      <c r="N25" s="468">
        <v>577333.453077004</v>
      </c>
    </row>
    <row r="26" spans="4:14" ht="12.75">
      <c r="D26" s="467" t="s">
        <v>323</v>
      </c>
      <c r="E26" s="490" t="s">
        <v>272</v>
      </c>
      <c r="F26" s="491" t="s">
        <v>89</v>
      </c>
      <c r="G26" s="492">
        <f>'[1]Расчет расх. по RAB (2011-2017)'!$H$86</f>
        <v>0.05222646590324109</v>
      </c>
      <c r="H26" s="465"/>
      <c r="I26" s="465"/>
      <c r="J26" s="465"/>
      <c r="K26" s="465"/>
      <c r="L26" s="465"/>
      <c r="M26" s="465"/>
      <c r="N26" s="466"/>
    </row>
    <row r="27" spans="4:14" ht="12.75">
      <c r="D27" s="467" t="s">
        <v>324</v>
      </c>
      <c r="E27" s="490" t="s">
        <v>253</v>
      </c>
      <c r="F27" s="461" t="s">
        <v>254</v>
      </c>
      <c r="G27" s="493">
        <f>35</f>
        <v>35</v>
      </c>
      <c r="H27" s="465"/>
      <c r="I27" s="465"/>
      <c r="J27" s="465"/>
      <c r="K27" s="465"/>
      <c r="L27" s="465"/>
      <c r="M27" s="465"/>
      <c r="N27" s="466"/>
    </row>
    <row r="28" spans="4:14" ht="12.75">
      <c r="D28" s="467" t="s">
        <v>325</v>
      </c>
      <c r="E28" s="490" t="s">
        <v>326</v>
      </c>
      <c r="F28" s="461" t="s">
        <v>254</v>
      </c>
      <c r="G28" s="494">
        <f>G27*(1-G26)</f>
        <v>33.172073693386565</v>
      </c>
      <c r="H28" s="465"/>
      <c r="I28" s="465"/>
      <c r="J28" s="465"/>
      <c r="K28" s="465"/>
      <c r="L28" s="465"/>
      <c r="M28" s="465"/>
      <c r="N28" s="466"/>
    </row>
    <row r="29" spans="4:14" ht="11.25">
      <c r="D29" s="459" t="s">
        <v>67</v>
      </c>
      <c r="E29" s="495" t="s">
        <v>327</v>
      </c>
      <c r="F29" s="496" t="s">
        <v>216</v>
      </c>
      <c r="G29" s="231">
        <v>48067.55166343826</v>
      </c>
      <c r="H29" s="497">
        <f>I29-G29</f>
        <v>48067.55166343826</v>
      </c>
      <c r="I29" s="497">
        <f aca="true" t="shared" si="4" ref="I29:N29">I30+I31</f>
        <v>96135.10332687652</v>
      </c>
      <c r="J29" s="497">
        <f t="shared" si="4"/>
        <v>102107.58279251306</v>
      </c>
      <c r="K29" s="497">
        <f t="shared" si="4"/>
        <v>110474.19257690769</v>
      </c>
      <c r="L29" s="497">
        <f t="shared" si="4"/>
        <v>120436.51663541757</v>
      </c>
      <c r="M29" s="497">
        <f t="shared" si="4"/>
        <v>132288.60243849453</v>
      </c>
      <c r="N29" s="498">
        <f t="shared" si="4"/>
        <v>146335.02543056753</v>
      </c>
    </row>
    <row r="30" spans="4:14" ht="12.75">
      <c r="D30" s="459" t="s">
        <v>328</v>
      </c>
      <c r="E30" s="499" t="s">
        <v>329</v>
      </c>
      <c r="F30" s="461" t="s">
        <v>216</v>
      </c>
      <c r="G30" s="231">
        <v>45636.53471428571</v>
      </c>
      <c r="H30" s="244">
        <f>I30-G30</f>
        <v>45636.53471428571</v>
      </c>
      <c r="I30" s="244">
        <f>G22/G28</f>
        <v>91273.06942857143</v>
      </c>
      <c r="J30" s="244">
        <f>I30</f>
        <v>91273.06942857143</v>
      </c>
      <c r="K30" s="244">
        <f>J30</f>
        <v>91273.06942857143</v>
      </c>
      <c r="L30" s="244">
        <f>K30</f>
        <v>91273.06942857143</v>
      </c>
      <c r="M30" s="244">
        <f>L30</f>
        <v>91273.06942857143</v>
      </c>
      <c r="N30" s="462">
        <f>M30</f>
        <v>91273.06942857143</v>
      </c>
    </row>
    <row r="31" spans="4:14" ht="11.25">
      <c r="D31" s="459" t="s">
        <v>330</v>
      </c>
      <c r="E31" s="500" t="s">
        <v>331</v>
      </c>
      <c r="F31" s="501" t="s">
        <v>216</v>
      </c>
      <c r="G31" s="487"/>
      <c r="H31" s="465"/>
      <c r="I31" s="244">
        <f>I32+I33+I34</f>
        <v>4862.033898305085</v>
      </c>
      <c r="J31" s="244">
        <f>J35+J34+J33+J32</f>
        <v>10834.513363941627</v>
      </c>
      <c r="K31" s="244">
        <f>K35+K36+K34+K33+K32</f>
        <v>19201.123148336257</v>
      </c>
      <c r="L31" s="244">
        <f>L35+L36+L37+L34+L33+L32</f>
        <v>29163.447206846144</v>
      </c>
      <c r="M31" s="244">
        <f>M35+M36+M37+M38+M34+M33+M32</f>
        <v>41015.533009923114</v>
      </c>
      <c r="N31" s="462">
        <f>N35+N36+N37+N38+N39+N34+N33+N32</f>
        <v>55061.95600199611</v>
      </c>
    </row>
    <row r="32" spans="4:14" ht="12.75" hidden="1">
      <c r="D32" s="502" t="s">
        <v>332</v>
      </c>
      <c r="E32" s="503" t="s">
        <v>333</v>
      </c>
      <c r="F32" s="504" t="s">
        <v>216</v>
      </c>
      <c r="G32" s="505"/>
      <c r="H32" s="506"/>
      <c r="I32" s="506"/>
      <c r="J32" s="506"/>
      <c r="K32" s="506"/>
      <c r="L32" s="506"/>
      <c r="M32" s="506"/>
      <c r="N32" s="507"/>
    </row>
    <row r="33" spans="4:14" ht="12.75" hidden="1">
      <c r="D33" s="508" t="s">
        <v>332</v>
      </c>
      <c r="E33" s="503" t="s">
        <v>334</v>
      </c>
      <c r="F33" s="504" t="s">
        <v>216</v>
      </c>
      <c r="G33" s="505"/>
      <c r="H33" s="506"/>
      <c r="I33" s="506"/>
      <c r="J33" s="506"/>
      <c r="K33" s="506"/>
      <c r="L33" s="506"/>
      <c r="M33" s="506"/>
      <c r="N33" s="507"/>
    </row>
    <row r="34" spans="4:14" ht="12.75">
      <c r="D34" s="459" t="s">
        <v>335</v>
      </c>
      <c r="E34" s="509" t="s">
        <v>336</v>
      </c>
      <c r="F34" s="501" t="s">
        <v>216</v>
      </c>
      <c r="G34" s="487"/>
      <c r="H34" s="465"/>
      <c r="I34" s="244">
        <f>'[1]Расчет расх. по RAB (2011-2017)'!$K$90</f>
        <v>4862.033898305085</v>
      </c>
      <c r="J34" s="244">
        <f>'[1]Расчет расх. по RAB (2011-2017)'!$L$90</f>
        <v>4862.033898305085</v>
      </c>
      <c r="K34" s="244">
        <f>'[1]Расчет расх. по RAB (2011-2017)'!$M$90</f>
        <v>4862.033898305085</v>
      </c>
      <c r="L34" s="244">
        <f>'[1]Расчет расх. по RAB (2011-2017)'!$N$90</f>
        <v>4862.033898305085</v>
      </c>
      <c r="M34" s="244">
        <f>'[1]Расчет расх. по RAB (2011-2017)'!$O$90</f>
        <v>4862.033898305085</v>
      </c>
      <c r="N34" s="462">
        <f>'[1]Расчет расх. по RAB (2011-2017)'!$P$90</f>
        <v>4862.033898305085</v>
      </c>
    </row>
    <row r="35" spans="4:14" ht="12.75">
      <c r="D35" s="459" t="s">
        <v>337</v>
      </c>
      <c r="E35" s="510" t="s">
        <v>338</v>
      </c>
      <c r="F35" s="501" t="s">
        <v>216</v>
      </c>
      <c r="G35" s="487"/>
      <c r="H35" s="465"/>
      <c r="I35" s="465"/>
      <c r="J35" s="244">
        <f>IF(I25=0,0,I25/G27)</f>
        <v>5972.479465636543</v>
      </c>
      <c r="K35" s="244">
        <f>J35</f>
        <v>5972.479465636543</v>
      </c>
      <c r="L35" s="244">
        <f>K35</f>
        <v>5972.479465636543</v>
      </c>
      <c r="M35" s="244">
        <f>L35</f>
        <v>5972.479465636543</v>
      </c>
      <c r="N35" s="462">
        <f>M35</f>
        <v>5972.479465636543</v>
      </c>
    </row>
    <row r="36" spans="4:14" ht="11.25">
      <c r="D36" s="459" t="s">
        <v>339</v>
      </c>
      <c r="E36" s="511" t="s">
        <v>340</v>
      </c>
      <c r="F36" s="501" t="s">
        <v>216</v>
      </c>
      <c r="G36" s="487"/>
      <c r="H36" s="465"/>
      <c r="I36" s="465"/>
      <c r="J36" s="465"/>
      <c r="K36" s="244">
        <f>IF(J25=0,0,J25/G27)</f>
        <v>8366.609784394628</v>
      </c>
      <c r="L36" s="244">
        <f>K36</f>
        <v>8366.609784394628</v>
      </c>
      <c r="M36" s="244">
        <f>L36</f>
        <v>8366.609784394628</v>
      </c>
      <c r="N36" s="462">
        <f>M36</f>
        <v>8366.609784394628</v>
      </c>
    </row>
    <row r="37" spans="4:14" ht="12.75">
      <c r="D37" s="467" t="s">
        <v>341</v>
      </c>
      <c r="E37" s="511" t="s">
        <v>342</v>
      </c>
      <c r="F37" s="501" t="s">
        <v>216</v>
      </c>
      <c r="G37" s="487"/>
      <c r="H37" s="465"/>
      <c r="I37" s="465"/>
      <c r="J37" s="465"/>
      <c r="K37" s="465"/>
      <c r="L37" s="244">
        <f>IF(K25=0,0,K25/G27)</f>
        <v>9962.324058509887</v>
      </c>
      <c r="M37" s="244">
        <f>L37</f>
        <v>9962.324058509887</v>
      </c>
      <c r="N37" s="462">
        <f>M37</f>
        <v>9962.324058509887</v>
      </c>
    </row>
    <row r="38" spans="4:14" ht="11.25">
      <c r="D38" s="459" t="s">
        <v>343</v>
      </c>
      <c r="E38" s="511" t="s">
        <v>344</v>
      </c>
      <c r="F38" s="501" t="s">
        <v>216</v>
      </c>
      <c r="G38" s="487"/>
      <c r="H38" s="465"/>
      <c r="I38" s="465"/>
      <c r="J38" s="465"/>
      <c r="K38" s="465"/>
      <c r="L38" s="465"/>
      <c r="M38" s="244">
        <f>IF(L25=0,0,L25/G27)</f>
        <v>11852.08580307697</v>
      </c>
      <c r="N38" s="462">
        <f>M38</f>
        <v>11852.08580307697</v>
      </c>
    </row>
    <row r="39" spans="4:14" ht="12.75" customHeight="1">
      <c r="D39" s="467" t="s">
        <v>345</v>
      </c>
      <c r="E39" s="511" t="s">
        <v>346</v>
      </c>
      <c r="F39" s="501" t="s">
        <v>216</v>
      </c>
      <c r="G39" s="487"/>
      <c r="H39" s="465"/>
      <c r="I39" s="465"/>
      <c r="J39" s="465"/>
      <c r="K39" s="465"/>
      <c r="L39" s="465"/>
      <c r="M39" s="465"/>
      <c r="N39" s="462">
        <f>IF(M25=0,0,M25/G27)</f>
        <v>14046.422992073</v>
      </c>
    </row>
    <row r="40" spans="4:14" ht="11.25">
      <c r="D40" s="459" t="s">
        <v>68</v>
      </c>
      <c r="E40" s="486" t="s">
        <v>347</v>
      </c>
      <c r="F40" s="512"/>
      <c r="G40" s="513"/>
      <c r="H40" s="514"/>
      <c r="I40" s="514"/>
      <c r="J40" s="465"/>
      <c r="K40" s="465"/>
      <c r="L40" s="465"/>
      <c r="M40" s="465"/>
      <c r="N40" s="466"/>
    </row>
    <row r="41" spans="4:14" ht="12.75">
      <c r="D41" s="459" t="s">
        <v>348</v>
      </c>
      <c r="E41" s="515" t="s">
        <v>349</v>
      </c>
      <c r="F41" s="501" t="s">
        <v>216</v>
      </c>
      <c r="G41" s="231">
        <v>3027716.9853061596</v>
      </c>
      <c r="H41" s="244">
        <f>I41-G41</f>
        <v>-2857545.7988654817</v>
      </c>
      <c r="I41" s="244">
        <f>$I$23-'[1]Расчет расх. по RAB (2011-2017)'!$K$92</f>
        <v>170171.186440678</v>
      </c>
      <c r="J41" s="244">
        <f>I41+I25-I31</f>
        <v>374345.93383965193</v>
      </c>
      <c r="K41" s="244">
        <f>J41+J25-J31</f>
        <v>656342.7629295224</v>
      </c>
      <c r="L41" s="244">
        <f>K41+K25-K31</f>
        <v>985822.9818290321</v>
      </c>
      <c r="M41" s="244">
        <f>L41+L25-L31</f>
        <v>1371482.5377298798</v>
      </c>
      <c r="N41" s="462">
        <f>M41+M25-M31</f>
        <v>1822091.8094425118</v>
      </c>
    </row>
    <row r="42" spans="4:14" ht="12.75">
      <c r="D42" s="459" t="s">
        <v>350</v>
      </c>
      <c r="E42" s="490" t="s">
        <v>351</v>
      </c>
      <c r="F42" s="501" t="s">
        <v>216</v>
      </c>
      <c r="G42" s="516">
        <v>17231.5169</v>
      </c>
      <c r="H42" s="517">
        <f>I42-G42</f>
        <v>17231.51689999997</v>
      </c>
      <c r="I42" s="518">
        <f>IF('[1]Расчет расх. по RAB (2011-2017)'!$K$79&lt;=2%,'[1]Расчет расх. по RAB (2011-2017)'!$H$65*2%,IF('[1]Расчет расх. по RAB (2011-2017)'!$K$79&lt;8%,'[1]Расчет расх. по RAB (2011-2017)'!$K$78,'[1]Расчет расх. по RAB (2011-2017)'!$H$65*8%))</f>
        <v>34463.03379999997</v>
      </c>
      <c r="J42" s="518">
        <f>IF('[1]Расчет расх. по RAB (2011-2017)'!$L$79&lt;=2%,$I$8*2%,IF('[1]Расчет расх. по RAB (2011-2017)'!$L$79&lt;8%,'[1]Расчет расх. по RAB (2011-2017)'!$L$78,$I$8*8%))</f>
        <v>36496.352794199964</v>
      </c>
      <c r="K42" s="518">
        <f>IF('[1]Расчет расх. по RAB (2011-2017)'!$M$79&lt;=2%,$J$8*2%,IF('[1]Расчет расх. по RAB (2011-2017)'!$M$79&lt;8%,'[1]Расчет расх. по RAB (2011-2017)'!$M$78,$J$8*8%))</f>
        <v>38394.16313949836</v>
      </c>
      <c r="L42" s="518">
        <f>IF('[1]Расчет расх. по RAB (2011-2017)'!$N$79&lt;=2%,$K$8*2%,IF('[1]Расчет расх. по RAB (2011-2017)'!$N$79&lt;8%,'[1]Расчет расх. по RAB (2011-2017)'!$N$78,$K$8*8%))</f>
        <v>40390.65962275228</v>
      </c>
      <c r="M42" s="518">
        <f>IF('[1]Расчет расх. по RAB (2011-2017)'!$O$79&lt;=2%,$L$8*2%,IF('[1]Расчет расх. по RAB (2011-2017)'!$O$79&lt;8%,'[1]Расчет расх. по RAB (2011-2017)'!$O$78,$L$8*8%))</f>
        <v>42490.9739231354</v>
      </c>
      <c r="N42" s="519">
        <f>IF('[1]Расчет расх. по RAB (2011-2017)'!$P$79&lt;=2%,$M$8*2%,IF('[1]Расчет расх. по RAB (2011-2017)'!$P$79&lt;8%,'[1]Расчет расх. по RAB (2011-2017)'!$P$78,$M$8*8%))</f>
        <v>44700.50456713844</v>
      </c>
    </row>
    <row r="43" spans="4:14" ht="11.25">
      <c r="D43" s="459" t="s">
        <v>352</v>
      </c>
      <c r="E43" s="500" t="s">
        <v>353</v>
      </c>
      <c r="F43" s="501" t="s">
        <v>89</v>
      </c>
      <c r="G43" s="520">
        <v>0</v>
      </c>
      <c r="H43" s="521">
        <v>0</v>
      </c>
      <c r="I43" s="521">
        <v>0.012</v>
      </c>
      <c r="J43" s="521">
        <v>0.09565266408836998</v>
      </c>
      <c r="K43" s="521">
        <v>0.11</v>
      </c>
      <c r="L43" s="521">
        <v>0.11</v>
      </c>
      <c r="M43" s="521">
        <v>0.11</v>
      </c>
      <c r="N43" s="522">
        <v>0.11</v>
      </c>
    </row>
    <row r="44" spans="4:14" ht="12.75">
      <c r="D44" s="459" t="s">
        <v>354</v>
      </c>
      <c r="E44" s="515" t="s">
        <v>355</v>
      </c>
      <c r="F44" s="501" t="s">
        <v>89</v>
      </c>
      <c r="G44" s="523">
        <v>0.12</v>
      </c>
      <c r="H44" s="524">
        <v>0.12</v>
      </c>
      <c r="I44" s="524">
        <v>0.12</v>
      </c>
      <c r="J44" s="524">
        <v>0.11</v>
      </c>
      <c r="K44" s="524">
        <v>0.11</v>
      </c>
      <c r="L44" s="524">
        <v>0.11</v>
      </c>
      <c r="M44" s="524">
        <v>0.11</v>
      </c>
      <c r="N44" s="522">
        <v>0.11</v>
      </c>
    </row>
    <row r="45" spans="4:14" ht="11.25" hidden="1">
      <c r="D45" s="459" t="s">
        <v>356</v>
      </c>
      <c r="E45" s="525" t="s">
        <v>357</v>
      </c>
      <c r="F45" s="501" t="s">
        <v>89</v>
      </c>
      <c r="G45" s="526"/>
      <c r="H45" s="527"/>
      <c r="I45" s="527"/>
      <c r="J45" s="527"/>
      <c r="K45" s="527"/>
      <c r="L45" s="527"/>
      <c r="M45" s="527"/>
      <c r="N45" s="528"/>
    </row>
    <row r="46" spans="4:14" ht="11.25">
      <c r="D46" s="459" t="s">
        <v>69</v>
      </c>
      <c r="E46" s="495" t="s">
        <v>358</v>
      </c>
      <c r="F46" s="529" t="s">
        <v>216</v>
      </c>
      <c r="G46" s="530">
        <f aca="true" t="shared" si="5" ref="G46:N46">G47+G48</f>
        <v>29896.716709706205</v>
      </c>
      <c r="H46" s="497">
        <f t="shared" si="5"/>
        <v>29896.716709706205</v>
      </c>
      <c r="I46" s="497">
        <f t="shared" si="5"/>
        <v>59793.43341941241</v>
      </c>
      <c r="J46" s="497">
        <f t="shared" si="5"/>
        <v>317340.8227791348</v>
      </c>
      <c r="K46" s="497">
        <f t="shared" si="5"/>
        <v>379349.8173398412</v>
      </c>
      <c r="L46" s="497">
        <f t="shared" si="5"/>
        <v>405772.21839480236</v>
      </c>
      <c r="M46" s="497">
        <f t="shared" si="5"/>
        <v>438385.7664797949</v>
      </c>
      <c r="N46" s="531">
        <f t="shared" si="5"/>
        <v>478155.79710188194</v>
      </c>
    </row>
    <row r="47" spans="4:14" ht="11.25">
      <c r="D47" s="459" t="s">
        <v>70</v>
      </c>
      <c r="E47" s="500" t="s">
        <v>359</v>
      </c>
      <c r="F47" s="501" t="s">
        <v>216</v>
      </c>
      <c r="G47" s="231">
        <v>17618.663495265526</v>
      </c>
      <c r="H47" s="232">
        <v>17618.663495265526</v>
      </c>
      <c r="I47" s="244">
        <f>($G$22-'[1]Расчет расх. по RAB (2011-2017)'!$K$91-$I$30*0)*$I$43</f>
        <v>35237.32699053106</v>
      </c>
      <c r="J47" s="244">
        <f>($G$22-'[1]Расчет расх. по RAB (2011-2017)'!$K$91-$I$30*1)*$J$43</f>
        <v>272148.17124941107</v>
      </c>
      <c r="K47" s="244">
        <f>($G$22-'[1]Расчет расх. по RAB (2011-2017)'!$K$91-$I$30*2)*$K$43</f>
        <v>302928.75547224894</v>
      </c>
      <c r="L47" s="244">
        <f>($G$22-'[1]Расчет расх. по RAB (2011-2017)'!$K$91-$I$30*3)*$L$43</f>
        <v>292888.7178351061</v>
      </c>
      <c r="M47" s="244">
        <f>($G$22-'[1]Расчет расх. по RAB (2011-2017)'!$K$91-$I$30*4)*$M$43</f>
        <v>282848.68019796326</v>
      </c>
      <c r="N47" s="462">
        <f>($G$22-'[1]Расчет расх. по RAB (2011-2017)'!$K$91-$I$30*5)*$N$43</f>
        <v>272808.64256082044</v>
      </c>
    </row>
    <row r="48" spans="4:14" ht="13.5" thickBot="1">
      <c r="D48" s="532" t="s">
        <v>71</v>
      </c>
      <c r="E48" s="533" t="s">
        <v>360</v>
      </c>
      <c r="F48" s="534" t="s">
        <v>216</v>
      </c>
      <c r="G48" s="473">
        <v>12278.053214440679</v>
      </c>
      <c r="H48" s="474">
        <v>12278.053214440679</v>
      </c>
      <c r="I48" s="475">
        <f aca="true" t="shared" si="6" ref="I48:N48">(I42+I41)*I44</f>
        <v>24556.106428881354</v>
      </c>
      <c r="J48" s="475">
        <f t="shared" si="6"/>
        <v>45192.651529723706</v>
      </c>
      <c r="K48" s="475">
        <f t="shared" si="6"/>
        <v>76421.06186759229</v>
      </c>
      <c r="L48" s="475">
        <f t="shared" si="6"/>
        <v>112883.50055969629</v>
      </c>
      <c r="M48" s="475">
        <f t="shared" si="6"/>
        <v>155537.08628183167</v>
      </c>
      <c r="N48" s="535">
        <f t="shared" si="6"/>
        <v>205347.15454106152</v>
      </c>
    </row>
    <row r="49" spans="5:14" ht="11.25">
      <c r="E49" s="477"/>
      <c r="F49" s="478"/>
      <c r="G49" s="536"/>
      <c r="H49" s="536"/>
      <c r="I49" s="536"/>
      <c r="J49" s="536"/>
      <c r="K49" s="536"/>
      <c r="L49" s="536"/>
      <c r="M49" s="536"/>
      <c r="N49" s="536"/>
    </row>
    <row r="50" spans="5:14" ht="11.25">
      <c r="E50" s="537" t="s">
        <v>361</v>
      </c>
      <c r="F50" s="538"/>
      <c r="G50" s="539"/>
      <c r="H50" s="539"/>
      <c r="I50" s="539"/>
      <c r="J50" s="539"/>
      <c r="K50" s="539"/>
      <c r="L50" s="539"/>
      <c r="M50" s="539"/>
      <c r="N50" s="539"/>
    </row>
    <row r="51" spans="5:14" ht="11.25">
      <c r="E51" s="537"/>
      <c r="F51" s="538"/>
      <c r="G51" s="539"/>
      <c r="H51" s="539"/>
      <c r="I51" s="539"/>
      <c r="J51" s="539"/>
      <c r="K51" s="539"/>
      <c r="L51" s="539"/>
      <c r="M51" s="539"/>
      <c r="N51" s="539"/>
    </row>
    <row r="52" spans="4:14" ht="12" thickBot="1">
      <c r="D52" s="540"/>
      <c r="E52" s="541" t="s">
        <v>362</v>
      </c>
      <c r="F52" s="542"/>
      <c r="G52" s="543"/>
      <c r="H52" s="544"/>
      <c r="I52" s="544"/>
      <c r="J52" s="544"/>
      <c r="K52" s="544"/>
      <c r="L52" s="544"/>
      <c r="M52" s="544"/>
      <c r="N52" s="545"/>
    </row>
    <row r="53" spans="4:14" ht="11.25">
      <c r="D53" s="453" t="s">
        <v>2</v>
      </c>
      <c r="E53" s="546" t="s">
        <v>363</v>
      </c>
      <c r="F53" s="547" t="s">
        <v>216</v>
      </c>
      <c r="G53" s="548">
        <f aca="true" t="shared" si="7" ref="G53:N53">G54+G55+G56</f>
        <v>98277.27285994522</v>
      </c>
      <c r="H53" s="549">
        <f t="shared" si="7"/>
        <v>120051.70671109528</v>
      </c>
      <c r="I53" s="550">
        <f t="shared" si="7"/>
        <v>218328.9795710405</v>
      </c>
      <c r="J53" s="457">
        <f t="shared" si="7"/>
        <v>359856.3018105805</v>
      </c>
      <c r="K53" s="457">
        <f t="shared" si="7"/>
        <v>432140.45866371476</v>
      </c>
      <c r="L53" s="457">
        <f t="shared" si="7"/>
        <v>499679.51380698057</v>
      </c>
      <c r="M53" s="551">
        <f t="shared" si="7"/>
        <v>575833.557412946</v>
      </c>
      <c r="N53" s="552">
        <f t="shared" si="7"/>
        <v>664171.8877381945</v>
      </c>
    </row>
    <row r="54" spans="4:14" ht="11.25">
      <c r="D54" s="480" t="s">
        <v>3</v>
      </c>
      <c r="E54" s="553" t="s">
        <v>308</v>
      </c>
      <c r="F54" s="501" t="s">
        <v>216</v>
      </c>
      <c r="G54" s="243">
        <f>G29</f>
        <v>48067.55166343826</v>
      </c>
      <c r="H54" s="244">
        <f>H29</f>
        <v>48067.55166343826</v>
      </c>
      <c r="I54" s="244">
        <f aca="true" t="shared" si="8" ref="I54:N54">I29</f>
        <v>96135.10332687652</v>
      </c>
      <c r="J54" s="244">
        <f t="shared" si="8"/>
        <v>102107.58279251306</v>
      </c>
      <c r="K54" s="244">
        <f t="shared" si="8"/>
        <v>110474.19257690769</v>
      </c>
      <c r="L54" s="244">
        <f t="shared" si="8"/>
        <v>120436.51663541757</v>
      </c>
      <c r="M54" s="554">
        <f t="shared" si="8"/>
        <v>132288.60243849453</v>
      </c>
      <c r="N54" s="283">
        <f t="shared" si="8"/>
        <v>146335.02543056753</v>
      </c>
    </row>
    <row r="55" spans="4:14" ht="11.25">
      <c r="D55" s="480" t="s">
        <v>8</v>
      </c>
      <c r="E55" s="553" t="s">
        <v>309</v>
      </c>
      <c r="F55" s="501" t="s">
        <v>216</v>
      </c>
      <c r="G55" s="243">
        <f>G46</f>
        <v>29896.716709706205</v>
      </c>
      <c r="H55" s="244">
        <f>H46</f>
        <v>29896.716709706205</v>
      </c>
      <c r="I55" s="244">
        <f aca="true" t="shared" si="9" ref="I55:N55">I46</f>
        <v>59793.43341941241</v>
      </c>
      <c r="J55" s="244">
        <f t="shared" si="9"/>
        <v>317340.8227791348</v>
      </c>
      <c r="K55" s="244">
        <f t="shared" si="9"/>
        <v>379349.8173398412</v>
      </c>
      <c r="L55" s="244">
        <f t="shared" si="9"/>
        <v>405772.21839480236</v>
      </c>
      <c r="M55" s="554">
        <f t="shared" si="9"/>
        <v>438385.7664797949</v>
      </c>
      <c r="N55" s="283">
        <f t="shared" si="9"/>
        <v>478155.79710188194</v>
      </c>
    </row>
    <row r="56" spans="4:14" ht="11.25">
      <c r="D56" s="480" t="s">
        <v>9</v>
      </c>
      <c r="E56" s="553" t="s">
        <v>264</v>
      </c>
      <c r="F56" s="501" t="s">
        <v>216</v>
      </c>
      <c r="G56" s="243">
        <f>G18</f>
        <v>20313.004486800754</v>
      </c>
      <c r="H56" s="244">
        <f>H18</f>
        <v>42087.43833795081</v>
      </c>
      <c r="I56" s="244">
        <f aca="true" t="shared" si="10" ref="I56:N56">I18</f>
        <v>62400.44282475156</v>
      </c>
      <c r="J56" s="244">
        <f t="shared" si="10"/>
        <v>-59592.1037610674</v>
      </c>
      <c r="K56" s="244">
        <f t="shared" si="10"/>
        <v>-57683.55125303413</v>
      </c>
      <c r="L56" s="244">
        <f t="shared" si="10"/>
        <v>-26529.2212232393</v>
      </c>
      <c r="M56" s="554">
        <f t="shared" si="10"/>
        <v>5159.188494656622</v>
      </c>
      <c r="N56" s="283">
        <f t="shared" si="10"/>
        <v>39681.06520574508</v>
      </c>
    </row>
    <row r="57" spans="4:14" ht="11.25">
      <c r="D57" s="480" t="s">
        <v>33</v>
      </c>
      <c r="E57" s="555" t="s">
        <v>364</v>
      </c>
      <c r="F57" s="529" t="s">
        <v>216</v>
      </c>
      <c r="G57" s="556">
        <f aca="true" t="shared" si="11" ref="G57:N57">G59+G61+G60</f>
        <v>93064.42400477846</v>
      </c>
      <c r="H57" s="557">
        <f t="shared" si="11"/>
        <v>93064.42400477846</v>
      </c>
      <c r="I57" s="497">
        <f t="shared" si="11"/>
        <v>186128.8480095569</v>
      </c>
      <c r="J57" s="497">
        <f t="shared" si="11"/>
        <v>202268.94702106615</v>
      </c>
      <c r="K57" s="497">
        <f t="shared" si="11"/>
        <v>219492.04761288263</v>
      </c>
      <c r="L57" s="497">
        <f t="shared" si="11"/>
        <v>238964.65960717475</v>
      </c>
      <c r="M57" s="558">
        <f t="shared" si="11"/>
        <v>261939.54821307026</v>
      </c>
      <c r="N57" s="559">
        <f t="shared" si="11"/>
        <v>288881.14645239414</v>
      </c>
    </row>
    <row r="58" spans="4:14" ht="11.25">
      <c r="D58" s="480" t="s">
        <v>34</v>
      </c>
      <c r="E58" s="553" t="s">
        <v>365</v>
      </c>
      <c r="F58" s="501" t="s">
        <v>216</v>
      </c>
      <c r="G58" s="560"/>
      <c r="H58" s="561"/>
      <c r="I58" s="244">
        <f aca="true" t="shared" si="12" ref="I58:N58">I59+I60</f>
        <v>118687.70375357087</v>
      </c>
      <c r="J58" s="244">
        <f t="shared" si="12"/>
        <v>128094.35891194841</v>
      </c>
      <c r="K58" s="244">
        <f t="shared" si="12"/>
        <v>141271.76932236995</v>
      </c>
      <c r="L58" s="244">
        <f t="shared" si="12"/>
        <v>156962.42971452302</v>
      </c>
      <c r="M58" s="554">
        <f t="shared" si="12"/>
        <v>175629.46485436926</v>
      </c>
      <c r="N58" s="283">
        <f t="shared" si="12"/>
        <v>197752.58106688425</v>
      </c>
    </row>
    <row r="59" spans="4:14" ht="11.25">
      <c r="D59" s="480" t="s">
        <v>101</v>
      </c>
      <c r="E59" s="562" t="s">
        <v>366</v>
      </c>
      <c r="F59" s="501" t="s">
        <v>216</v>
      </c>
      <c r="G59" s="563">
        <v>67320.07687678543</v>
      </c>
      <c r="H59" s="564">
        <v>67320.07687678543</v>
      </c>
      <c r="I59" s="244">
        <f>G59+H59</f>
        <v>134640.15375357086</v>
      </c>
      <c r="J59" s="232">
        <v>144046.8089119484</v>
      </c>
      <c r="K59" s="232">
        <v>157224.21932236996</v>
      </c>
      <c r="L59" s="232">
        <v>172914.87971452303</v>
      </c>
      <c r="M59" s="232">
        <v>191581.91485436927</v>
      </c>
      <c r="N59" s="565">
        <v>213705.03106688426</v>
      </c>
    </row>
    <row r="60" spans="4:14" ht="11.25">
      <c r="D60" s="480" t="s">
        <v>102</v>
      </c>
      <c r="E60" s="566" t="s">
        <v>367</v>
      </c>
      <c r="F60" s="501" t="s">
        <v>216</v>
      </c>
      <c r="G60" s="563">
        <v>-7976.225</v>
      </c>
      <c r="H60" s="564">
        <v>-7976.225</v>
      </c>
      <c r="I60" s="244">
        <f>G60+H60</f>
        <v>-15952.45</v>
      </c>
      <c r="J60" s="232">
        <v>-15952.45</v>
      </c>
      <c r="K60" s="232">
        <v>-15952.45</v>
      </c>
      <c r="L60" s="232">
        <v>-15952.45</v>
      </c>
      <c r="M60" s="232">
        <v>-15952.45</v>
      </c>
      <c r="N60" s="565">
        <v>-15952.45</v>
      </c>
    </row>
    <row r="61" spans="4:14" ht="11.25">
      <c r="D61" s="480" t="s">
        <v>45</v>
      </c>
      <c r="E61" s="553" t="s">
        <v>241</v>
      </c>
      <c r="F61" s="501" t="s">
        <v>216</v>
      </c>
      <c r="G61" s="563">
        <v>33720.57212799303</v>
      </c>
      <c r="H61" s="564">
        <v>33720.57212799303</v>
      </c>
      <c r="I61" s="244">
        <f aca="true" t="shared" si="13" ref="I61:N61">I103</f>
        <v>67441.14425598606</v>
      </c>
      <c r="J61" s="244">
        <f t="shared" si="13"/>
        <v>74174.58810911777</v>
      </c>
      <c r="K61" s="244">
        <f t="shared" si="13"/>
        <v>78220.2782905127</v>
      </c>
      <c r="L61" s="244">
        <f t="shared" si="13"/>
        <v>82002.22989265171</v>
      </c>
      <c r="M61" s="554">
        <f t="shared" si="13"/>
        <v>86310.083358701</v>
      </c>
      <c r="N61" s="283">
        <f t="shared" si="13"/>
        <v>91128.56538550992</v>
      </c>
    </row>
    <row r="62" spans="4:14" ht="11.25">
      <c r="D62" s="480" t="s">
        <v>50</v>
      </c>
      <c r="E62" s="555" t="s">
        <v>368</v>
      </c>
      <c r="F62" s="529" t="s">
        <v>216</v>
      </c>
      <c r="G62" s="563">
        <v>20125.08222592723</v>
      </c>
      <c r="H62" s="564">
        <v>20125.08222592723</v>
      </c>
      <c r="I62" s="497">
        <f aca="true" t="shared" si="14" ref="I62:N62">IF((I53-I57)&lt;0,0,(I53-I57)/0.8)</f>
        <v>40250.16445185447</v>
      </c>
      <c r="J62" s="497">
        <f t="shared" si="14"/>
        <v>196984.1934868929</v>
      </c>
      <c r="K62" s="497">
        <f t="shared" si="14"/>
        <v>265810.51381354016</v>
      </c>
      <c r="L62" s="497">
        <f t="shared" si="14"/>
        <v>325893.56774975726</v>
      </c>
      <c r="M62" s="558">
        <f t="shared" si="14"/>
        <v>392367.51149984467</v>
      </c>
      <c r="N62" s="559">
        <f t="shared" si="14"/>
        <v>469113.42660725047</v>
      </c>
    </row>
    <row r="63" spans="4:14" ht="11.25">
      <c r="D63" s="480" t="s">
        <v>56</v>
      </c>
      <c r="E63" s="555" t="s">
        <v>369</v>
      </c>
      <c r="F63" s="496" t="s">
        <v>89</v>
      </c>
      <c r="G63" s="567">
        <v>0.2</v>
      </c>
      <c r="H63" s="568">
        <v>0.2</v>
      </c>
      <c r="I63" s="569">
        <v>0.2</v>
      </c>
      <c r="J63" s="569">
        <v>0.2</v>
      </c>
      <c r="K63" s="569">
        <v>0.2</v>
      </c>
      <c r="L63" s="569">
        <v>0.2</v>
      </c>
      <c r="M63" s="570">
        <v>0.2</v>
      </c>
      <c r="N63" s="571">
        <v>0.2</v>
      </c>
    </row>
    <row r="64" spans="4:14" ht="12" thickBot="1">
      <c r="D64" s="572" t="s">
        <v>57</v>
      </c>
      <c r="E64" s="573" t="s">
        <v>59</v>
      </c>
      <c r="F64" s="574" t="s">
        <v>216</v>
      </c>
      <c r="G64" s="575">
        <f aca="true" t="shared" si="15" ref="G64:N64">G62*G63</f>
        <v>4025.0164451854466</v>
      </c>
      <c r="H64" s="576">
        <f t="shared" si="15"/>
        <v>4025.0164451854466</v>
      </c>
      <c r="I64" s="252">
        <f t="shared" si="15"/>
        <v>8050.032890370894</v>
      </c>
      <c r="J64" s="252">
        <f t="shared" si="15"/>
        <v>39396.83869737858</v>
      </c>
      <c r="K64" s="252">
        <f t="shared" si="15"/>
        <v>53162.10276270803</v>
      </c>
      <c r="L64" s="252">
        <f t="shared" si="15"/>
        <v>65178.713549951455</v>
      </c>
      <c r="M64" s="577">
        <f t="shared" si="15"/>
        <v>78473.50229996894</v>
      </c>
      <c r="N64" s="255">
        <f t="shared" si="15"/>
        <v>93822.6853214501</v>
      </c>
    </row>
    <row r="65" spans="5:14" ht="11.25">
      <c r="E65" s="578"/>
      <c r="F65" s="478"/>
      <c r="G65" s="479"/>
      <c r="H65" s="479"/>
      <c r="I65" s="479"/>
      <c r="J65" s="479"/>
      <c r="K65" s="479"/>
      <c r="L65" s="479"/>
      <c r="M65" s="479"/>
      <c r="N65" s="479"/>
    </row>
    <row r="66" spans="4:14" ht="12" thickBot="1">
      <c r="D66" s="540"/>
      <c r="E66" s="541" t="s">
        <v>370</v>
      </c>
      <c r="F66" s="542"/>
      <c r="G66" s="543"/>
      <c r="H66" s="544"/>
      <c r="I66" s="544"/>
      <c r="J66" s="544"/>
      <c r="K66" s="544"/>
      <c r="L66" s="544"/>
      <c r="M66" s="544"/>
      <c r="N66" s="579"/>
    </row>
    <row r="67" spans="4:14" ht="11.25">
      <c r="D67" s="453" t="s">
        <v>2</v>
      </c>
      <c r="E67" s="580" t="s">
        <v>371</v>
      </c>
      <c r="F67" s="455" t="s">
        <v>216</v>
      </c>
      <c r="G67" s="581"/>
      <c r="H67" s="582"/>
      <c r="I67" s="550">
        <f aca="true" t="shared" si="16" ref="I67:N67">I29+I46</f>
        <v>155928.53674628894</v>
      </c>
      <c r="J67" s="550">
        <f t="shared" si="16"/>
        <v>419448.40557164786</v>
      </c>
      <c r="K67" s="550">
        <f t="shared" si="16"/>
        <v>489824.0099167489</v>
      </c>
      <c r="L67" s="550">
        <f t="shared" si="16"/>
        <v>526208.7350302199</v>
      </c>
      <c r="M67" s="550">
        <f t="shared" si="16"/>
        <v>570674.3689182894</v>
      </c>
      <c r="N67" s="583">
        <f t="shared" si="16"/>
        <v>624490.8225324495</v>
      </c>
    </row>
    <row r="68" spans="4:14" ht="11.25">
      <c r="D68" s="453" t="s">
        <v>33</v>
      </c>
      <c r="E68" s="584" t="s">
        <v>372</v>
      </c>
      <c r="F68" s="496" t="s">
        <v>216</v>
      </c>
      <c r="G68" s="585"/>
      <c r="H68" s="586"/>
      <c r="I68" s="497">
        <f aca="true" t="shared" si="17" ref="I68:N68">I69+I70+I71</f>
        <v>86321.77760889403</v>
      </c>
      <c r="J68" s="497">
        <f t="shared" si="17"/>
        <v>93890.54967680195</v>
      </c>
      <c r="K68" s="497">
        <f t="shared" si="17"/>
        <v>98808.52516087148</v>
      </c>
      <c r="L68" s="497">
        <f t="shared" si="17"/>
        <v>103440.16127753092</v>
      </c>
      <c r="M68" s="497">
        <f t="shared" si="17"/>
        <v>108632.76605027395</v>
      </c>
      <c r="N68" s="531">
        <f t="shared" si="17"/>
        <v>114217.70118215408</v>
      </c>
    </row>
    <row r="69" spans="4:14" ht="11.25">
      <c r="D69" s="453" t="s">
        <v>34</v>
      </c>
      <c r="E69" s="587" t="s">
        <v>373</v>
      </c>
      <c r="F69" s="461" t="s">
        <v>216</v>
      </c>
      <c r="G69" s="588"/>
      <c r="H69" s="589"/>
      <c r="I69" s="232">
        <v>18880.633352907975</v>
      </c>
      <c r="J69" s="232">
        <v>19715.96156768417</v>
      </c>
      <c r="K69" s="232">
        <v>20588.246870358784</v>
      </c>
      <c r="L69" s="232">
        <v>21437.931384879208</v>
      </c>
      <c r="M69" s="232">
        <v>22322.68269157295</v>
      </c>
      <c r="N69" s="468">
        <v>23089.13579664416</v>
      </c>
    </row>
    <row r="70" spans="4:14" ht="11.25">
      <c r="D70" s="453" t="s">
        <v>35</v>
      </c>
      <c r="E70" s="587" t="s">
        <v>170</v>
      </c>
      <c r="F70" s="461" t="s">
        <v>216</v>
      </c>
      <c r="G70" s="588"/>
      <c r="H70" s="589"/>
      <c r="I70" s="232">
        <v>0</v>
      </c>
      <c r="J70" s="232">
        <v>0</v>
      </c>
      <c r="K70" s="232">
        <v>0</v>
      </c>
      <c r="L70" s="232">
        <v>0</v>
      </c>
      <c r="M70" s="232">
        <v>0</v>
      </c>
      <c r="N70" s="468">
        <v>0</v>
      </c>
    </row>
    <row r="71" spans="4:14" ht="12" thickBot="1">
      <c r="D71" s="590" t="s">
        <v>37</v>
      </c>
      <c r="E71" s="591" t="s">
        <v>374</v>
      </c>
      <c r="F71" s="592" t="s">
        <v>216</v>
      </c>
      <c r="G71" s="593"/>
      <c r="H71" s="594"/>
      <c r="I71" s="595">
        <f aca="true" t="shared" si="18" ref="I71:N71">I103</f>
        <v>67441.14425598606</v>
      </c>
      <c r="J71" s="595">
        <f t="shared" si="18"/>
        <v>74174.58810911777</v>
      </c>
      <c r="K71" s="595">
        <f t="shared" si="18"/>
        <v>78220.2782905127</v>
      </c>
      <c r="L71" s="595">
        <f t="shared" si="18"/>
        <v>82002.22989265171</v>
      </c>
      <c r="M71" s="595">
        <f t="shared" si="18"/>
        <v>86310.083358701</v>
      </c>
      <c r="N71" s="596">
        <f t="shared" si="18"/>
        <v>91128.56538550992</v>
      </c>
    </row>
    <row r="72" spans="4:14" ht="11.25">
      <c r="D72" s="597" t="s">
        <v>45</v>
      </c>
      <c r="E72" s="598" t="s">
        <v>375</v>
      </c>
      <c r="F72" s="599" t="s">
        <v>216</v>
      </c>
      <c r="G72" s="581"/>
      <c r="H72" s="600"/>
      <c r="I72" s="550">
        <f aca="true" t="shared" si="19" ref="I72:N72">I67-I68</f>
        <v>69606.75913739491</v>
      </c>
      <c r="J72" s="550">
        <f t="shared" si="19"/>
        <v>325557.8558948459</v>
      </c>
      <c r="K72" s="550">
        <f t="shared" si="19"/>
        <v>391015.4847558774</v>
      </c>
      <c r="L72" s="550">
        <f t="shared" si="19"/>
        <v>422768.57375268894</v>
      </c>
      <c r="M72" s="550">
        <f t="shared" si="19"/>
        <v>462041.60286801547</v>
      </c>
      <c r="N72" s="583">
        <f t="shared" si="19"/>
        <v>510273.12135029543</v>
      </c>
    </row>
    <row r="73" spans="4:14" ht="11.25">
      <c r="D73" s="453" t="s">
        <v>50</v>
      </c>
      <c r="E73" s="601" t="s">
        <v>376</v>
      </c>
      <c r="F73" s="592" t="s">
        <v>216</v>
      </c>
      <c r="G73" s="588"/>
      <c r="H73" s="589"/>
      <c r="I73" s="244">
        <f aca="true" t="shared" si="20" ref="I73:N73">I59</f>
        <v>134640.15375357086</v>
      </c>
      <c r="J73" s="244">
        <f t="shared" si="20"/>
        <v>144046.8089119484</v>
      </c>
      <c r="K73" s="244">
        <f t="shared" si="20"/>
        <v>157224.21932236996</v>
      </c>
      <c r="L73" s="244">
        <f t="shared" si="20"/>
        <v>172914.87971452303</v>
      </c>
      <c r="M73" s="244">
        <f t="shared" si="20"/>
        <v>191581.91485436927</v>
      </c>
      <c r="N73" s="462">
        <f t="shared" si="20"/>
        <v>213705.03106688426</v>
      </c>
    </row>
    <row r="74" spans="4:14" ht="12" thickBot="1">
      <c r="D74" s="590" t="s">
        <v>56</v>
      </c>
      <c r="E74" s="602" t="s">
        <v>377</v>
      </c>
      <c r="F74" s="603" t="s">
        <v>216</v>
      </c>
      <c r="G74" s="604"/>
      <c r="H74" s="605"/>
      <c r="I74" s="606">
        <f aca="true" t="shared" si="21" ref="I74:N74">I18+I13+I14+I15</f>
        <v>62400.44282475156</v>
      </c>
      <c r="J74" s="606">
        <f t="shared" si="21"/>
        <v>-59592.1037610674</v>
      </c>
      <c r="K74" s="606">
        <f t="shared" si="21"/>
        <v>-57683.55125303413</v>
      </c>
      <c r="L74" s="606">
        <f t="shared" si="21"/>
        <v>-26529.2212232393</v>
      </c>
      <c r="M74" s="606">
        <f t="shared" si="21"/>
        <v>5159.188494656622</v>
      </c>
      <c r="N74" s="607">
        <f t="shared" si="21"/>
        <v>39681.06520574508</v>
      </c>
    </row>
    <row r="75" spans="4:14" ht="12" thickBot="1">
      <c r="D75" s="608" t="s">
        <v>57</v>
      </c>
      <c r="E75" s="609" t="s">
        <v>378</v>
      </c>
      <c r="F75" s="610" t="s">
        <v>216</v>
      </c>
      <c r="G75" s="611"/>
      <c r="H75" s="612"/>
      <c r="I75" s="613">
        <f aca="true" t="shared" si="22" ref="I75:N75">IF((I72-I73+I74)&lt;0,0,(I72-I73+I74))</f>
        <v>0</v>
      </c>
      <c r="J75" s="613">
        <f t="shared" si="22"/>
        <v>121918.9432218301</v>
      </c>
      <c r="K75" s="613">
        <f t="shared" si="22"/>
        <v>176107.71418047333</v>
      </c>
      <c r="L75" s="613">
        <f t="shared" si="22"/>
        <v>223324.47281492662</v>
      </c>
      <c r="M75" s="613">
        <f t="shared" si="22"/>
        <v>275618.8765083028</v>
      </c>
      <c r="N75" s="614">
        <f t="shared" si="22"/>
        <v>336249.15548915626</v>
      </c>
    </row>
    <row r="76" spans="3:14" ht="11.25">
      <c r="C76" s="177"/>
      <c r="D76" s="177"/>
      <c r="E76" s="578"/>
      <c r="F76" s="615"/>
      <c r="G76" s="616"/>
      <c r="H76" s="616"/>
      <c r="I76" s="616"/>
      <c r="J76" s="616"/>
      <c r="K76" s="616"/>
      <c r="L76" s="616"/>
      <c r="M76" s="616"/>
      <c r="N76" s="616"/>
    </row>
    <row r="77" spans="4:14" ht="12" thickBot="1">
      <c r="D77" s="540"/>
      <c r="E77" s="617" t="s">
        <v>379</v>
      </c>
      <c r="F77" s="542"/>
      <c r="G77" s="543"/>
      <c r="H77" s="544"/>
      <c r="I77" s="544"/>
      <c r="J77" s="544"/>
      <c r="K77" s="544"/>
      <c r="L77" s="544"/>
      <c r="M77" s="544"/>
      <c r="N77" s="579"/>
    </row>
    <row r="78" spans="4:14" ht="12" thickBot="1">
      <c r="D78" s="590" t="s">
        <v>2</v>
      </c>
      <c r="E78" s="580" t="s">
        <v>380</v>
      </c>
      <c r="F78" s="455" t="s">
        <v>216</v>
      </c>
      <c r="G78" s="618"/>
      <c r="H78" s="619"/>
      <c r="I78" s="620">
        <v>209036.781297279</v>
      </c>
      <c r="J78" s="620">
        <v>292831.342453812</v>
      </c>
      <c r="K78" s="620">
        <v>348681.342047846</v>
      </c>
      <c r="L78" s="620">
        <v>414823.003107694</v>
      </c>
      <c r="M78" s="620">
        <v>491624.804722555</v>
      </c>
      <c r="N78" s="621">
        <v>577333.453077004</v>
      </c>
    </row>
    <row r="79" spans="4:14" ht="11.25">
      <c r="D79" s="597" t="s">
        <v>33</v>
      </c>
      <c r="E79" s="598" t="s">
        <v>381</v>
      </c>
      <c r="F79" s="599" t="s">
        <v>216</v>
      </c>
      <c r="G79" s="581"/>
      <c r="H79" s="600"/>
      <c r="I79" s="550">
        <f aca="true" t="shared" si="23" ref="I79:N79">I80+I81</f>
        <v>209036.781297279</v>
      </c>
      <c r="J79" s="550">
        <f t="shared" si="23"/>
        <v>292831.342453812</v>
      </c>
      <c r="K79" s="550">
        <f t="shared" si="23"/>
        <v>348681.342047846</v>
      </c>
      <c r="L79" s="550">
        <f t="shared" si="23"/>
        <v>414823.003107694</v>
      </c>
      <c r="M79" s="622">
        <f t="shared" si="23"/>
        <v>491624.804722555</v>
      </c>
      <c r="N79" s="583">
        <f t="shared" si="23"/>
        <v>577333.453077004</v>
      </c>
    </row>
    <row r="80" spans="4:14" ht="11.25">
      <c r="D80" s="453" t="s">
        <v>34</v>
      </c>
      <c r="E80" s="623" t="s">
        <v>375</v>
      </c>
      <c r="F80" s="461" t="s">
        <v>216</v>
      </c>
      <c r="G80" s="588"/>
      <c r="H80" s="589"/>
      <c r="I80" s="244">
        <f aca="true" t="shared" si="24" ref="I80:N80">IF((I75+I73)&gt;I78,I78,(I75+I73))</f>
        <v>134640.15375357086</v>
      </c>
      <c r="J80" s="244">
        <f t="shared" si="24"/>
        <v>265965.75213377853</v>
      </c>
      <c r="K80" s="244">
        <f t="shared" si="24"/>
        <v>333331.93350284325</v>
      </c>
      <c r="L80" s="244">
        <f t="shared" si="24"/>
        <v>396239.3525294496</v>
      </c>
      <c r="M80" s="554">
        <f t="shared" si="24"/>
        <v>467200.7913626721</v>
      </c>
      <c r="N80" s="462">
        <f t="shared" si="24"/>
        <v>549954.1865560405</v>
      </c>
    </row>
    <row r="81" spans="4:14" ht="12" thickBot="1">
      <c r="D81" s="590" t="s">
        <v>35</v>
      </c>
      <c r="E81" s="624" t="s">
        <v>382</v>
      </c>
      <c r="F81" s="603" t="s">
        <v>216</v>
      </c>
      <c r="G81" s="604"/>
      <c r="H81" s="605"/>
      <c r="I81" s="606">
        <f aca="true" t="shared" si="25" ref="I81:N81">IF((I78-I80)&lt;0,0,(I78-I80))</f>
        <v>74396.62754370813</v>
      </c>
      <c r="J81" s="606">
        <f t="shared" si="25"/>
        <v>26865.590320033487</v>
      </c>
      <c r="K81" s="606">
        <f t="shared" si="25"/>
        <v>15349.408545002749</v>
      </c>
      <c r="L81" s="606">
        <f t="shared" si="25"/>
        <v>18583.650578244356</v>
      </c>
      <c r="M81" s="625">
        <f t="shared" si="25"/>
        <v>24424.01335988287</v>
      </c>
      <c r="N81" s="607">
        <f t="shared" si="25"/>
        <v>27379.2665209634</v>
      </c>
    </row>
    <row r="82" spans="4:14" ht="11.25">
      <c r="D82" s="597" t="s">
        <v>45</v>
      </c>
      <c r="E82" s="598" t="s">
        <v>383</v>
      </c>
      <c r="F82" s="599" t="s">
        <v>216</v>
      </c>
      <c r="G82" s="581"/>
      <c r="H82" s="600"/>
      <c r="I82" s="550">
        <f aca="true" t="shared" si="26" ref="I82:N82">SUM(I83:I85)</f>
        <v>209036.781297279</v>
      </c>
      <c r="J82" s="550">
        <f t="shared" si="26"/>
        <v>292831.342453812</v>
      </c>
      <c r="K82" s="550">
        <f t="shared" si="26"/>
        <v>348681.34204784594</v>
      </c>
      <c r="L82" s="550">
        <f t="shared" si="26"/>
        <v>414823.003107694</v>
      </c>
      <c r="M82" s="622">
        <f t="shared" si="26"/>
        <v>491624.80472255504</v>
      </c>
      <c r="N82" s="583">
        <f t="shared" si="26"/>
        <v>577333.453077004</v>
      </c>
    </row>
    <row r="83" spans="4:14" ht="11.25">
      <c r="D83" s="453" t="s">
        <v>46</v>
      </c>
      <c r="E83" s="623" t="s">
        <v>160</v>
      </c>
      <c r="F83" s="461" t="s">
        <v>216</v>
      </c>
      <c r="G83" s="588"/>
      <c r="H83" s="589"/>
      <c r="I83" s="244">
        <f aca="true" t="shared" si="27" ref="I83:N83">IF(I59&gt;I79,I79,I59)</f>
        <v>134640.15375357086</v>
      </c>
      <c r="J83" s="244">
        <f t="shared" si="27"/>
        <v>144046.8089119484</v>
      </c>
      <c r="K83" s="244">
        <f t="shared" si="27"/>
        <v>157224.21932236996</v>
      </c>
      <c r="L83" s="244">
        <f t="shared" si="27"/>
        <v>172914.87971452303</v>
      </c>
      <c r="M83" s="244">
        <f t="shared" si="27"/>
        <v>191581.91485436927</v>
      </c>
      <c r="N83" s="462">
        <f t="shared" si="27"/>
        <v>213705.03106688426</v>
      </c>
    </row>
    <row r="84" spans="4:14" ht="11.25">
      <c r="D84" s="453" t="s">
        <v>47</v>
      </c>
      <c r="E84" s="623" t="s">
        <v>384</v>
      </c>
      <c r="F84" s="461" t="s">
        <v>216</v>
      </c>
      <c r="G84" s="588"/>
      <c r="H84" s="589"/>
      <c r="I84" s="244">
        <f aca="true" t="shared" si="28" ref="I84:N84">IF((I78-I73)&lt;I75,(I78-I73),I75)</f>
        <v>0</v>
      </c>
      <c r="J84" s="244">
        <f t="shared" si="28"/>
        <v>121918.9432218301</v>
      </c>
      <c r="K84" s="244">
        <f t="shared" si="28"/>
        <v>176107.71418047333</v>
      </c>
      <c r="L84" s="244">
        <f t="shared" si="28"/>
        <v>223324.47281492662</v>
      </c>
      <c r="M84" s="554">
        <f t="shared" si="28"/>
        <v>275618.8765083028</v>
      </c>
      <c r="N84" s="462">
        <f t="shared" si="28"/>
        <v>336249.15548915626</v>
      </c>
    </row>
    <row r="85" spans="4:14" ht="12" thickBot="1">
      <c r="D85" s="626" t="s">
        <v>48</v>
      </c>
      <c r="E85" s="627" t="s">
        <v>382</v>
      </c>
      <c r="F85" s="472" t="s">
        <v>216</v>
      </c>
      <c r="G85" s="628"/>
      <c r="H85" s="629"/>
      <c r="I85" s="475">
        <f aca="true" t="shared" si="29" ref="I85:N85">I78-I83-I84</f>
        <v>74396.62754370813</v>
      </c>
      <c r="J85" s="475">
        <f t="shared" si="29"/>
        <v>26865.590320033516</v>
      </c>
      <c r="K85" s="475">
        <f t="shared" si="29"/>
        <v>15349.40854500272</v>
      </c>
      <c r="L85" s="475">
        <f t="shared" si="29"/>
        <v>18583.650578244327</v>
      </c>
      <c r="M85" s="630">
        <f t="shared" si="29"/>
        <v>24424.013359882927</v>
      </c>
      <c r="N85" s="535">
        <f t="shared" si="29"/>
        <v>27379.2665209634</v>
      </c>
    </row>
    <row r="86" spans="5:14" ht="11.25">
      <c r="E86" s="631"/>
      <c r="F86" s="632"/>
      <c r="G86" s="633"/>
      <c r="H86" s="633"/>
      <c r="I86" s="633"/>
      <c r="J86" s="633"/>
      <c r="K86" s="633"/>
      <c r="L86" s="633"/>
      <c r="M86" s="633"/>
      <c r="N86" s="633"/>
    </row>
    <row r="87" spans="4:14" ht="12" thickBot="1">
      <c r="D87" s="540"/>
      <c r="E87" s="617" t="s">
        <v>385</v>
      </c>
      <c r="F87" s="542"/>
      <c r="G87" s="543"/>
      <c r="H87" s="544"/>
      <c r="I87" s="544"/>
      <c r="J87" s="544"/>
      <c r="K87" s="544"/>
      <c r="L87" s="544"/>
      <c r="M87" s="544"/>
      <c r="N87" s="579"/>
    </row>
    <row r="88" spans="4:14" ht="11.25">
      <c r="D88" s="453" t="s">
        <v>2</v>
      </c>
      <c r="E88" s="634" t="s">
        <v>386</v>
      </c>
      <c r="F88" s="635" t="s">
        <v>216</v>
      </c>
      <c r="G88" s="636"/>
      <c r="H88" s="582"/>
      <c r="I88" s="637">
        <f aca="true" t="shared" si="30" ref="I88:N88">SUM(I89:I91)-I94</f>
        <v>757038.4608730851</v>
      </c>
      <c r="J88" s="550">
        <f t="shared" si="30"/>
        <v>804531.8151083416</v>
      </c>
      <c r="K88" s="550">
        <f t="shared" si="30"/>
        <v>842210.8857445573</v>
      </c>
      <c r="L88" s="550">
        <f t="shared" si="30"/>
        <v>884151.848837584</v>
      </c>
      <c r="M88" s="622">
        <f t="shared" si="30"/>
        <v>932902.5376613844</v>
      </c>
      <c r="N88" s="583">
        <f t="shared" si="30"/>
        <v>985593.5757177717</v>
      </c>
    </row>
    <row r="89" spans="4:14" ht="11.25">
      <c r="D89" s="453" t="s">
        <v>3</v>
      </c>
      <c r="E89" s="587" t="s">
        <v>387</v>
      </c>
      <c r="F89" s="638" t="s">
        <v>216</v>
      </c>
      <c r="G89" s="639"/>
      <c r="H89" s="640"/>
      <c r="I89" s="641">
        <v>662775.102410832</v>
      </c>
      <c r="J89" s="244">
        <f>I88</f>
        <v>757038.4608730851</v>
      </c>
      <c r="K89" s="244">
        <f>J88</f>
        <v>804531.8151083416</v>
      </c>
      <c r="L89" s="244">
        <f>K88</f>
        <v>842210.8857445573</v>
      </c>
      <c r="M89" s="244">
        <f>L88</f>
        <v>884151.848837584</v>
      </c>
      <c r="N89" s="462">
        <f>M88</f>
        <v>932902.5376613844</v>
      </c>
    </row>
    <row r="90" spans="4:14" ht="22.5">
      <c r="D90" s="453" t="s">
        <v>8</v>
      </c>
      <c r="E90" s="623" t="s">
        <v>388</v>
      </c>
      <c r="F90" s="638" t="s">
        <v>216</v>
      </c>
      <c r="G90" s="642"/>
      <c r="H90" s="643"/>
      <c r="I90" s="244">
        <f aca="true" t="shared" si="31" ref="I90:N90">IF((I78-(I67-I69-I70-I98-I91*I100+I18+I13+I14+I15))&lt;0,0,(I78-(I67-I69-I70-I98-I91*I100+I18+I13+I14+I15)))</f>
        <v>73536.59125072317</v>
      </c>
      <c r="J90" s="244">
        <f t="shared" si="31"/>
        <v>25647.341594304075</v>
      </c>
      <c r="K90" s="244">
        <f t="shared" si="31"/>
        <v>14653.373312651762</v>
      </c>
      <c r="L90" s="244">
        <f t="shared" si="31"/>
        <v>17740.95520596119</v>
      </c>
      <c r="M90" s="244">
        <f t="shared" si="31"/>
        <v>23316.48053449433</v>
      </c>
      <c r="N90" s="462">
        <f t="shared" si="31"/>
        <v>26137.72460235178</v>
      </c>
    </row>
    <row r="91" spans="4:14" ht="11.25">
      <c r="D91" s="453" t="s">
        <v>9</v>
      </c>
      <c r="E91" s="623" t="s">
        <v>389</v>
      </c>
      <c r="F91" s="638" t="s">
        <v>216</v>
      </c>
      <c r="G91" s="639"/>
      <c r="H91" s="640"/>
      <c r="I91" s="232">
        <v>20726.767211529863</v>
      </c>
      <c r="J91" s="232">
        <v>21846.012640952475</v>
      </c>
      <c r="K91" s="232">
        <v>23025.69732356391</v>
      </c>
      <c r="L91" s="232">
        <v>24200.00788706567</v>
      </c>
      <c r="M91" s="232">
        <v>25434.208289306018</v>
      </c>
      <c r="N91" s="468">
        <v>26553.31345403548</v>
      </c>
    </row>
    <row r="92" spans="4:14" ht="12.75" hidden="1">
      <c r="D92" s="453"/>
      <c r="E92" s="623" t="s">
        <v>390</v>
      </c>
      <c r="F92" s="638"/>
      <c r="G92" s="644"/>
      <c r="H92" s="645"/>
      <c r="I92" s="646" t="str">
        <f aca="true" t="shared" si="32" ref="I92:N92">IF(I91&lt;=I42,"OK","ОШИБКА")</f>
        <v>OK</v>
      </c>
      <c r="J92" s="647" t="str">
        <f t="shared" si="32"/>
        <v>OK</v>
      </c>
      <c r="K92" s="647" t="str">
        <f t="shared" si="32"/>
        <v>OK</v>
      </c>
      <c r="L92" s="647" t="str">
        <f t="shared" si="32"/>
        <v>OK</v>
      </c>
      <c r="M92" s="647" t="str">
        <f t="shared" si="32"/>
        <v>OK</v>
      </c>
      <c r="N92" s="648" t="str">
        <f t="shared" si="32"/>
        <v>OK</v>
      </c>
    </row>
    <row r="93" spans="4:14" ht="11.25">
      <c r="D93" s="453"/>
      <c r="E93" s="649" t="s">
        <v>391</v>
      </c>
      <c r="F93" s="638"/>
      <c r="G93" s="639"/>
      <c r="H93" s="640"/>
      <c r="I93" s="650"/>
      <c r="J93" s="465"/>
      <c r="K93" s="465"/>
      <c r="L93" s="465"/>
      <c r="M93" s="651"/>
      <c r="N93" s="466"/>
    </row>
    <row r="94" spans="4:14" ht="12" thickBot="1">
      <c r="D94" s="652" t="s">
        <v>18</v>
      </c>
      <c r="E94" s="653" t="s">
        <v>392</v>
      </c>
      <c r="F94" s="654" t="s">
        <v>216</v>
      </c>
      <c r="G94" s="628"/>
      <c r="H94" s="629"/>
      <c r="I94" s="474">
        <v>0</v>
      </c>
      <c r="J94" s="474">
        <v>0</v>
      </c>
      <c r="K94" s="474">
        <v>0</v>
      </c>
      <c r="L94" s="474">
        <v>0</v>
      </c>
      <c r="M94" s="474">
        <v>0</v>
      </c>
      <c r="N94" s="476">
        <v>0</v>
      </c>
    </row>
    <row r="95" spans="4:14" ht="12" thickBot="1">
      <c r="D95" s="655"/>
      <c r="E95" s="656" t="s">
        <v>393</v>
      </c>
      <c r="F95" s="657"/>
      <c r="G95" s="658"/>
      <c r="H95" s="659"/>
      <c r="I95" s="659"/>
      <c r="J95" s="659"/>
      <c r="K95" s="659"/>
      <c r="L95" s="659"/>
      <c r="M95" s="659"/>
      <c r="N95" s="660"/>
    </row>
    <row r="96" spans="4:14" ht="11.25">
      <c r="D96" s="453" t="s">
        <v>33</v>
      </c>
      <c r="E96" s="661" t="s">
        <v>394</v>
      </c>
      <c r="F96" s="662" t="s">
        <v>89</v>
      </c>
      <c r="G96" s="663"/>
      <c r="H96" s="664"/>
      <c r="I96" s="665">
        <v>0.095</v>
      </c>
      <c r="J96" s="666">
        <v>0.095</v>
      </c>
      <c r="K96" s="666">
        <v>0.095</v>
      </c>
      <c r="L96" s="666">
        <v>0.095</v>
      </c>
      <c r="M96" s="667">
        <v>0.095</v>
      </c>
      <c r="N96" s="668">
        <v>0.095</v>
      </c>
    </row>
    <row r="97" spans="4:14" ht="11.25">
      <c r="D97" s="453" t="s">
        <v>45</v>
      </c>
      <c r="E97" s="669" t="s">
        <v>395</v>
      </c>
      <c r="F97" s="638" t="s">
        <v>216</v>
      </c>
      <c r="G97" s="639"/>
      <c r="H97" s="640"/>
      <c r="I97" s="670">
        <f aca="true" t="shared" si="33" ref="I97:N97">I89</f>
        <v>662775.102410832</v>
      </c>
      <c r="J97" s="244">
        <f t="shared" si="33"/>
        <v>757038.4608730851</v>
      </c>
      <c r="K97" s="244">
        <f t="shared" si="33"/>
        <v>804531.8151083416</v>
      </c>
      <c r="L97" s="244">
        <f t="shared" si="33"/>
        <v>842210.8857445573</v>
      </c>
      <c r="M97" s="554">
        <f t="shared" si="33"/>
        <v>884151.848837584</v>
      </c>
      <c r="N97" s="462">
        <f t="shared" si="33"/>
        <v>932902.5376613844</v>
      </c>
    </row>
    <row r="98" spans="4:14" ht="12" thickBot="1">
      <c r="D98" s="590" t="s">
        <v>50</v>
      </c>
      <c r="E98" s="671" t="s">
        <v>396</v>
      </c>
      <c r="F98" s="672" t="s">
        <v>216</v>
      </c>
      <c r="G98" s="673"/>
      <c r="H98" s="674"/>
      <c r="I98" s="675">
        <f aca="true" t="shared" si="34" ref="I98:N98">I97*I96</f>
        <v>62963.634729029036</v>
      </c>
      <c r="J98" s="254">
        <f t="shared" si="34"/>
        <v>71918.65378294309</v>
      </c>
      <c r="K98" s="254">
        <f t="shared" si="34"/>
        <v>76430.52243529246</v>
      </c>
      <c r="L98" s="254">
        <f t="shared" si="34"/>
        <v>80010.03414573293</v>
      </c>
      <c r="M98" s="676">
        <f t="shared" si="34"/>
        <v>83994.42563957049</v>
      </c>
      <c r="N98" s="677">
        <f t="shared" si="34"/>
        <v>88625.74107783152</v>
      </c>
    </row>
    <row r="99" spans="4:14" ht="12" thickBot="1">
      <c r="D99" s="678"/>
      <c r="E99" s="679" t="s">
        <v>397</v>
      </c>
      <c r="F99" s="680"/>
      <c r="G99" s="543"/>
      <c r="H99" s="544"/>
      <c r="I99" s="544"/>
      <c r="J99" s="544"/>
      <c r="K99" s="544"/>
      <c r="L99" s="544"/>
      <c r="M99" s="544"/>
      <c r="N99" s="579"/>
    </row>
    <row r="100" spans="4:14" ht="11.25">
      <c r="D100" s="597" t="s">
        <v>56</v>
      </c>
      <c r="E100" s="661" t="s">
        <v>398</v>
      </c>
      <c r="F100" s="681" t="s">
        <v>89</v>
      </c>
      <c r="G100" s="663"/>
      <c r="H100" s="664"/>
      <c r="I100" s="665">
        <v>0.0475</v>
      </c>
      <c r="J100" s="666">
        <v>0.0475</v>
      </c>
      <c r="K100" s="666">
        <v>0.0475</v>
      </c>
      <c r="L100" s="666">
        <v>0.0475</v>
      </c>
      <c r="M100" s="667">
        <v>0.0475</v>
      </c>
      <c r="N100" s="668">
        <v>0.0475</v>
      </c>
    </row>
    <row r="101" spans="4:14" ht="11.25">
      <c r="D101" s="453" t="s">
        <v>57</v>
      </c>
      <c r="E101" s="669" t="s">
        <v>399</v>
      </c>
      <c r="F101" s="461" t="s">
        <v>216</v>
      </c>
      <c r="G101" s="639"/>
      <c r="H101" s="640"/>
      <c r="I101" s="670">
        <f aca="true" t="shared" si="35" ref="I101:N101">I90+I91-I94</f>
        <v>94263.35846225303</v>
      </c>
      <c r="J101" s="244">
        <f t="shared" si="35"/>
        <v>47493.35423525655</v>
      </c>
      <c r="K101" s="244">
        <f t="shared" si="35"/>
        <v>37679.07063621567</v>
      </c>
      <c r="L101" s="244">
        <f t="shared" si="35"/>
        <v>41940.96309302686</v>
      </c>
      <c r="M101" s="554">
        <f t="shared" si="35"/>
        <v>48750.688823800345</v>
      </c>
      <c r="N101" s="462">
        <f t="shared" si="35"/>
        <v>52691.03805638726</v>
      </c>
    </row>
    <row r="102" spans="4:14" ht="12" thickBot="1">
      <c r="D102" s="453" t="s">
        <v>58</v>
      </c>
      <c r="E102" s="671" t="s">
        <v>400</v>
      </c>
      <c r="F102" s="682" t="s">
        <v>216</v>
      </c>
      <c r="G102" s="673"/>
      <c r="H102" s="674"/>
      <c r="I102" s="675">
        <f aca="true" t="shared" si="36" ref="I102:N102">I101*I100</f>
        <v>4477.509526957019</v>
      </c>
      <c r="J102" s="254">
        <f t="shared" si="36"/>
        <v>2255.9343261746862</v>
      </c>
      <c r="K102" s="254">
        <f t="shared" si="36"/>
        <v>1789.7558552202445</v>
      </c>
      <c r="L102" s="254">
        <f t="shared" si="36"/>
        <v>1992.195746918776</v>
      </c>
      <c r="M102" s="676">
        <f t="shared" si="36"/>
        <v>2315.6577191305164</v>
      </c>
      <c r="N102" s="677">
        <f t="shared" si="36"/>
        <v>2502.8243076783947</v>
      </c>
    </row>
    <row r="103" spans="4:14" ht="12" thickBot="1">
      <c r="D103" s="590" t="s">
        <v>63</v>
      </c>
      <c r="E103" s="683" t="s">
        <v>401</v>
      </c>
      <c r="F103" s="684" t="s">
        <v>216</v>
      </c>
      <c r="G103" s="685"/>
      <c r="H103" s="686"/>
      <c r="I103" s="687">
        <f aca="true" t="shared" si="37" ref="I103:N103">I98+I102</f>
        <v>67441.14425598606</v>
      </c>
      <c r="J103" s="688">
        <f t="shared" si="37"/>
        <v>74174.58810911777</v>
      </c>
      <c r="K103" s="688">
        <f t="shared" si="37"/>
        <v>78220.2782905127</v>
      </c>
      <c r="L103" s="688">
        <f t="shared" si="37"/>
        <v>82002.22989265171</v>
      </c>
      <c r="M103" s="689">
        <f t="shared" si="37"/>
        <v>86310.083358701</v>
      </c>
      <c r="N103" s="690">
        <f t="shared" si="37"/>
        <v>91128.56538550992</v>
      </c>
    </row>
    <row r="104" spans="4:14" ht="11.25">
      <c r="D104" s="691"/>
      <c r="E104" s="692" t="s">
        <v>402</v>
      </c>
      <c r="F104" s="693"/>
      <c r="G104" s="694"/>
      <c r="H104" s="695"/>
      <c r="I104" s="695"/>
      <c r="J104" s="695"/>
      <c r="K104" s="695"/>
      <c r="L104" s="695"/>
      <c r="M104" s="695"/>
      <c r="N104" s="696"/>
    </row>
    <row r="105" spans="4:14" ht="12.75">
      <c r="D105" s="697" t="s">
        <v>64</v>
      </c>
      <c r="E105" s="698" t="s">
        <v>270</v>
      </c>
      <c r="F105" s="699" t="s">
        <v>216</v>
      </c>
      <c r="G105" s="700"/>
      <c r="H105" s="233"/>
      <c r="I105" s="244">
        <f>G22</f>
        <v>3027716.9853061596</v>
      </c>
      <c r="J105" s="244">
        <f>I105</f>
        <v>3027716.9853061596</v>
      </c>
      <c r="K105" s="244">
        <f>J105</f>
        <v>3027716.9853061596</v>
      </c>
      <c r="L105" s="244">
        <f>K105</f>
        <v>3027716.9853061596</v>
      </c>
      <c r="M105" s="244">
        <f>L105</f>
        <v>3027716.9853061596</v>
      </c>
      <c r="N105" s="462">
        <f>M105</f>
        <v>3027716.9853061596</v>
      </c>
    </row>
    <row r="106" spans="4:14" ht="11.25">
      <c r="D106" s="697" t="s">
        <v>65</v>
      </c>
      <c r="E106" s="701" t="s">
        <v>403</v>
      </c>
      <c r="F106" s="702" t="s">
        <v>89</v>
      </c>
      <c r="G106" s="703"/>
      <c r="H106" s="704"/>
      <c r="I106" s="705">
        <f aca="true" t="shared" si="38" ref="I106:N106">IF(I105=0,0,I88/I105)</f>
        <v>0.2500360715836636</v>
      </c>
      <c r="J106" s="705">
        <f t="shared" si="38"/>
        <v>0.2657222649979579</v>
      </c>
      <c r="K106" s="705">
        <f t="shared" si="38"/>
        <v>0.27816697856236183</v>
      </c>
      <c r="L106" s="705">
        <f t="shared" si="38"/>
        <v>0.29201931789809593</v>
      </c>
      <c r="M106" s="705">
        <f t="shared" si="38"/>
        <v>0.30812078611999144</v>
      </c>
      <c r="N106" s="706">
        <f t="shared" si="38"/>
        <v>0.32552368021878025</v>
      </c>
    </row>
    <row r="107" spans="4:14" ht="11.25">
      <c r="D107" s="697" t="s">
        <v>67</v>
      </c>
      <c r="E107" s="701" t="s">
        <v>404</v>
      </c>
      <c r="F107" s="702" t="s">
        <v>89</v>
      </c>
      <c r="G107" s="703"/>
      <c r="H107" s="704"/>
      <c r="I107" s="705">
        <f aca="true" t="shared" si="39" ref="I107:N107">IF(I78=0,0,I90/I78)</f>
        <v>0.35178780879784044</v>
      </c>
      <c r="J107" s="705">
        <f t="shared" si="39"/>
        <v>0.08758400442858812</v>
      </c>
      <c r="K107" s="705">
        <f t="shared" si="39"/>
        <v>0.04202511446867446</v>
      </c>
      <c r="L107" s="705">
        <f t="shared" si="39"/>
        <v>0.04276752994181324</v>
      </c>
      <c r="M107" s="705">
        <f t="shared" si="39"/>
        <v>0.04742738834679593</v>
      </c>
      <c r="N107" s="706">
        <f t="shared" si="39"/>
        <v>0.04527318564868536</v>
      </c>
    </row>
    <row r="108" spans="4:14" ht="12" thickBot="1">
      <c r="D108" s="707" t="s">
        <v>68</v>
      </c>
      <c r="E108" s="708" t="s">
        <v>405</v>
      </c>
      <c r="F108" s="603"/>
      <c r="G108" s="709"/>
      <c r="H108" s="710"/>
      <c r="I108" s="711" t="e">
        <f aca="true" t="shared" si="40" ref="I108:N108">nerr(I88/(I11+I12+I18+I64))</f>
        <v>#NAME?</v>
      </c>
      <c r="J108" s="711" t="e">
        <f t="shared" si="40"/>
        <v>#NAME?</v>
      </c>
      <c r="K108" s="711" t="e">
        <f t="shared" si="40"/>
        <v>#NAME?</v>
      </c>
      <c r="L108" s="711" t="e">
        <f t="shared" si="40"/>
        <v>#NAME?</v>
      </c>
      <c r="M108" s="711" t="e">
        <f t="shared" si="40"/>
        <v>#NAME?</v>
      </c>
      <c r="N108" s="712" t="e">
        <f t="shared" si="40"/>
        <v>#NAME?</v>
      </c>
    </row>
    <row r="109" ht="27.75" customHeight="1">
      <c r="E109" s="713" t="s">
        <v>406</v>
      </c>
    </row>
    <row r="110" spans="4:14" ht="11.25">
      <c r="D110" s="714">
        <v>1</v>
      </c>
      <c r="E110" s="715" t="s">
        <v>305</v>
      </c>
      <c r="F110" s="716" t="s">
        <v>100</v>
      </c>
      <c r="G110" s="717">
        <f aca="true" t="shared" si="41" ref="G110:N110">G8</f>
        <v>285207.92025839945</v>
      </c>
      <c r="H110" s="718">
        <f t="shared" si="41"/>
        <v>307152.3197415999</v>
      </c>
      <c r="I110" s="719">
        <f t="shared" si="41"/>
        <v>592360.2399999994</v>
      </c>
      <c r="J110" s="719">
        <f t="shared" si="41"/>
        <v>787628</v>
      </c>
      <c r="K110" s="719">
        <f t="shared" si="41"/>
        <v>905741.0000000001</v>
      </c>
      <c r="L110" s="719">
        <f t="shared" si="41"/>
        <v>1005003</v>
      </c>
      <c r="M110" s="719">
        <f t="shared" si="41"/>
        <v>1115107.0000000005</v>
      </c>
      <c r="N110" s="720">
        <f t="shared" si="41"/>
        <v>1237230.0000000005</v>
      </c>
    </row>
    <row r="111" spans="4:14" ht="11.25">
      <c r="D111" s="721">
        <v>2</v>
      </c>
      <c r="E111" s="722" t="s">
        <v>407</v>
      </c>
      <c r="F111" s="723" t="s">
        <v>283</v>
      </c>
      <c r="G111" s="724">
        <f>'[1]Расчет расх. по RAB (2011-2017)'!$I$95-'[1]Расчет расх. по RAB (2011-2017)'!$I$97</f>
        <v>404.02092899999997</v>
      </c>
      <c r="H111" s="725">
        <f>'[1]Расчет расх. по RAB (2011-2017)'!$J$95-'[1]Расчет расх. по RAB (2011-2017)'!$J$97</f>
        <v>388.3389144504793</v>
      </c>
      <c r="I111" s="726">
        <f>'[1]Расчет расх. по RAB (2011-2017)'!$K$95-'[1]Расчет расх. по RAB (2011-2017)'!$K$97</f>
        <v>792.3598434504793</v>
      </c>
      <c r="J111" s="726">
        <f>'[1]Расчет расх. по RAB (2011-2017)'!$L$95-'[1]Расчет расх. по RAB (2011-2017)'!$L$97</f>
        <v>808.168604533252</v>
      </c>
      <c r="K111" s="726">
        <f>'[1]Расчет расх. по RAB (2011-2017)'!$M$95-'[1]Расчет расх. по RAB (2011-2017)'!$M$97</f>
        <v>811.3156935901525</v>
      </c>
      <c r="L111" s="726">
        <f>'[1]Расчет расх. по RAB (2011-2017)'!$N$95-'[1]Расчет расх. по RAB (2011-2017)'!$N$97</f>
        <v>822.0334999292485</v>
      </c>
      <c r="M111" s="726">
        <f>'[1]Расчет расх. по RAB (2011-2017)'!$O$95-'[1]Расчет расх. по RAB (2011-2017)'!$O$97</f>
        <v>831.8230794278609</v>
      </c>
      <c r="N111" s="727">
        <f>'[1]Расчет расх. по RAB (2011-2017)'!$P$95-'[1]Расчет расх. по RAB (2011-2017)'!$P$97</f>
        <v>841.2291477464964</v>
      </c>
    </row>
    <row r="112" spans="4:14" ht="11.25">
      <c r="D112" s="721">
        <v>3</v>
      </c>
      <c r="E112" s="722" t="s">
        <v>408</v>
      </c>
      <c r="F112" s="723" t="s">
        <v>409</v>
      </c>
      <c r="G112" s="728" t="e">
        <f aca="true" t="shared" si="42" ref="G112:N112">nerr(G110/G111/10)</f>
        <v>#NAME?</v>
      </c>
      <c r="H112" s="729" t="e">
        <f t="shared" si="42"/>
        <v>#NAME?</v>
      </c>
      <c r="I112" s="726" t="e">
        <f t="shared" si="42"/>
        <v>#NAME?</v>
      </c>
      <c r="J112" s="726" t="e">
        <f t="shared" si="42"/>
        <v>#NAME?</v>
      </c>
      <c r="K112" s="726" t="e">
        <f t="shared" si="42"/>
        <v>#NAME?</v>
      </c>
      <c r="L112" s="726" t="e">
        <f t="shared" si="42"/>
        <v>#NAME?</v>
      </c>
      <c r="M112" s="726" t="e">
        <f t="shared" si="42"/>
        <v>#NAME?</v>
      </c>
      <c r="N112" s="727" t="e">
        <f t="shared" si="42"/>
        <v>#NAME?</v>
      </c>
    </row>
    <row r="113" spans="4:14" ht="12" thickBot="1">
      <c r="D113" s="730">
        <v>4</v>
      </c>
      <c r="E113" s="731" t="s">
        <v>410</v>
      </c>
      <c r="F113" s="732" t="s">
        <v>89</v>
      </c>
      <c r="G113" s="733"/>
      <c r="H113" s="734"/>
      <c r="I113" s="735">
        <v>0</v>
      </c>
      <c r="J113" s="736" t="e">
        <f>nerr(J112/I112)</f>
        <v>#NAME?</v>
      </c>
      <c r="K113" s="736" t="e">
        <f>nerr(K112/J112)</f>
        <v>#NAME?</v>
      </c>
      <c r="L113" s="736" t="e">
        <f>nerr(L112/K112)</f>
        <v>#NAME?</v>
      </c>
      <c r="M113" s="736" t="e">
        <f>nerr(M112/L112)</f>
        <v>#NAME?</v>
      </c>
      <c r="N113" s="737" t="e">
        <f>nerr(N112/M112)</f>
        <v>#NAME?</v>
      </c>
    </row>
  </sheetData>
  <mergeCells count="3">
    <mergeCell ref="G6:N6"/>
    <mergeCell ref="D4:N4"/>
    <mergeCell ref="G5:N5"/>
  </mergeCells>
  <dataValidations count="2">
    <dataValidation type="decimal" allowBlank="1" showInputMessage="1" showErrorMessage="1" error="Ввведеное значение неверно" sqref="I45:N45">
      <formula1>-1000000000000000</formula1>
      <formula2>1000000000000000</formula2>
    </dataValidation>
    <dataValidation type="decimal" allowBlank="1" showErrorMessage="1" errorTitle="Ошибка" error="Допускается ввод только действительных чисел!" sqref="G13:H18 G22:G23 J59:N60 G24:H25 H23 G29:G30 G41:G43 H43:M43 G47:H48 G59:H62 I69:N70 I78:N78 I91:N91 I89 I94:N94 I96:N96 I100:N100 I113 J14:N18 J24:N25 G63:N63">
      <formula1>-999999999999999000000000</formula1>
      <formula2>9.99999999999999E+23</formula2>
    </dataValidation>
  </dataValidations>
  <hyperlinks>
    <hyperlink ref="E5" location="Справочники!A1" tooltip="Лист Справочники" display="Перейти на лист &quot;Справочники&quot;"/>
  </hyperlink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liberman</dc:creator>
  <cp:keywords/>
  <dc:description/>
  <cp:lastModifiedBy>Елин</cp:lastModifiedBy>
  <cp:lastPrinted>2012-12-21T05:08:19Z</cp:lastPrinted>
  <dcterms:created xsi:type="dcterms:W3CDTF">2011-08-16T05:15:53Z</dcterms:created>
  <dcterms:modified xsi:type="dcterms:W3CDTF">2013-04-16T09:28:40Z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