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630" windowWidth="10170" windowHeight="9585" tabRatio="837" activeTab="22"/>
  </bookViews>
  <sheets>
    <sheet name="Дата" sheetId="1" r:id="rId1"/>
    <sheet name="КарНУМН" sheetId="2" r:id="rId2"/>
    <sheet name="НПС Остров НУМН" sheetId="3" r:id="rId3"/>
    <sheet name="Сивыс-Ях НУМН " sheetId="4" r:id="rId4"/>
    <sheet name="Сент НУМН" sheetId="5" r:id="rId5"/>
    <sheet name="Итого по НУМН" sheetId="6" r:id="rId6"/>
    <sheet name="У-Ю, Ю  Обь РН-ЮНГ" sheetId="7" r:id="rId7"/>
    <sheet name="Лемпино РН-ЮНГ" sheetId="8" r:id="rId8"/>
    <sheet name="РОВД" sheetId="9" r:id="rId9"/>
    <sheet name="ЭН" sheetId="10" state="hidden" r:id="rId10"/>
    <sheet name="Расчет Пойк" sheetId="11" state="hidden" r:id="rId11"/>
    <sheet name="Пойковский" sheetId="12" state="hidden" r:id="rId12"/>
    <sheet name="Сингапай" sheetId="13" r:id="rId13"/>
    <sheet name="Чеускино" sheetId="14" r:id="rId14"/>
    <sheet name="Итого по РН-ЮНГ" sheetId="15" r:id="rId15"/>
    <sheet name="Пойк  ТЭ" sheetId="16" r:id="rId16"/>
    <sheet name=" Салым ТЭ" sheetId="17" r:id="rId17"/>
    <sheet name=" Куть-Ях ТЭ " sheetId="18" r:id="rId18"/>
    <sheet name="Итого по ТЭ" sheetId="19" r:id="rId19"/>
    <sheet name=" Салым РЖД" sheetId="20" r:id="rId20"/>
    <sheet name=" Куть-Ях РЖД" sheetId="21" r:id="rId21"/>
    <sheet name="Итого по РЖД" sheetId="22" r:id="rId22"/>
    <sheet name="Общий" sheetId="23" r:id="rId23"/>
    <sheet name="ОАО &quot;ПЭС&quot;" sheetId="24" state="hidden" r:id="rId24"/>
    <sheet name="потребители" sheetId="25" state="hidden" r:id="rId25"/>
  </sheets>
  <definedNames>
    <definedName name="_xlnm.Print_Area" localSheetId="20">' Куть-Ях РЖД'!$A$1:$H$37</definedName>
    <definedName name="_xlnm.Print_Area" localSheetId="17">' Куть-Ях ТЭ '!$A$1:$H$37</definedName>
    <definedName name="_xlnm.Print_Area" localSheetId="19">' Салым РЖД'!$A$1:$H$38</definedName>
    <definedName name="_xlnm.Print_Area" localSheetId="16">' Салым ТЭ'!$A$1:$H$38</definedName>
    <definedName name="_xlnm.Print_Area" localSheetId="5">'Итого по НУМН'!$A$1:$E$37</definedName>
    <definedName name="_xlnm.Print_Area" localSheetId="21">'Итого по РЖД'!$A$1:$E$37</definedName>
    <definedName name="_xlnm.Print_Area" localSheetId="14">'Итого по РН-ЮНГ'!$A$1:$E$37</definedName>
    <definedName name="_xlnm.Print_Area" localSheetId="18">'Итого по ТЭ'!$A$1:$E$37</definedName>
    <definedName name="_xlnm.Print_Area" localSheetId="1">'КарНУМН'!$A$1:$H$44</definedName>
    <definedName name="_xlnm.Print_Area" localSheetId="7">'Лемпино РН-ЮНГ'!$A$1:$F$42</definedName>
    <definedName name="_xlnm.Print_Area" localSheetId="2">'НПС Остров НУМН'!$A$1:$G$44</definedName>
    <definedName name="_xlnm.Print_Area" localSheetId="22">'Общий'!$A$1:$J$37</definedName>
    <definedName name="_xlnm.Print_Area" localSheetId="15">'Пойк  ТЭ'!$A$1:$K$38</definedName>
    <definedName name="_xlnm.Print_Area" localSheetId="24">'потребители'!$A$1:$CX$39</definedName>
    <definedName name="_xlnm.Print_Area" localSheetId="8">'РОВД'!$A$1:$N$38</definedName>
    <definedName name="_xlnm.Print_Area" localSheetId="4">'Сент НУМН'!$A$1:$N$38</definedName>
    <definedName name="_xlnm.Print_Area" localSheetId="3">'Сивыс-Ях НУМН '!$A$1:$G$44</definedName>
    <definedName name="_xlnm.Print_Area" localSheetId="12">'Сингапай'!$A$1:$BF$38</definedName>
    <definedName name="_xlnm.Print_Area" localSheetId="6">'У-Ю, Ю  Обь РН-ЮНГ'!$A$1:$E$45</definedName>
    <definedName name="_xlnm.Print_Area" localSheetId="13">'Чеускино'!$A$1:$R$38</definedName>
    <definedName name="_xlnm.Print_Area" localSheetId="9">'ЭН'!$A$1:$BU$50</definedName>
  </definedNames>
  <calcPr fullCalcOnLoad="1"/>
</workbook>
</file>

<file path=xl/comments10.xml><?xml version="1.0" encoding="utf-8"?>
<comments xmlns="http://schemas.openxmlformats.org/spreadsheetml/2006/main">
  <authors>
    <author>ProLe</author>
  </authors>
  <commentList>
    <comment ref="BR35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</commentList>
</comments>
</file>

<file path=xl/comments13.xml><?xml version="1.0" encoding="utf-8"?>
<comments xmlns="http://schemas.openxmlformats.org/spreadsheetml/2006/main">
  <authors>
    <author>Виктория Бушуева</author>
    <author>ProLe</author>
  </authors>
  <commentList>
    <comment ref="AZ6" authorId="0">
      <text>
        <r>
          <rPr>
            <b/>
            <sz val="9"/>
            <rFont val="Tahoma"/>
            <family val="2"/>
          </rPr>
          <t>Виктория Бушуева:</t>
        </r>
        <r>
          <rPr>
            <sz val="9"/>
            <rFont val="Tahoma"/>
            <family val="2"/>
          </rPr>
          <t xml:space="preserve">
Альянтранстрой</t>
        </r>
      </text>
    </comment>
    <comment ref="H36" authorId="1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  <comment ref="O36" authorId="1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</commentList>
</comments>
</file>

<file path=xl/comments14.xml><?xml version="1.0" encoding="utf-8"?>
<comments xmlns="http://schemas.openxmlformats.org/spreadsheetml/2006/main">
  <authors>
    <author>ProLe</author>
  </authors>
  <commentList>
    <comment ref="A36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</commentList>
</comments>
</file>

<file path=xl/comments15.xml><?xml version="1.0" encoding="utf-8"?>
<comments xmlns="http://schemas.openxmlformats.org/spreadsheetml/2006/main">
  <authors>
    <author>ProLe</author>
  </authors>
  <commentList>
    <comment ref="B35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</commentList>
</comments>
</file>

<file path=xl/comments19.xml><?xml version="1.0" encoding="utf-8"?>
<comments xmlns="http://schemas.openxmlformats.org/spreadsheetml/2006/main">
  <authors>
    <author>ProLe</author>
  </authors>
  <commentList>
    <comment ref="B35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</commentList>
</comments>
</file>

<file path=xl/comments22.xml><?xml version="1.0" encoding="utf-8"?>
<comments xmlns="http://schemas.openxmlformats.org/spreadsheetml/2006/main">
  <authors>
    <author>ProLe</author>
  </authors>
  <commentList>
    <comment ref="B35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</commentList>
</comments>
</file>

<file path=xl/comments23.xml><?xml version="1.0" encoding="utf-8"?>
<comments xmlns="http://schemas.openxmlformats.org/spreadsheetml/2006/main">
  <authors>
    <author>ProLe</author>
  </authors>
  <commentList>
    <comment ref="I36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</commentList>
</comments>
</file>

<file path=xl/comments5.xml><?xml version="1.0" encoding="utf-8"?>
<comments xmlns="http://schemas.openxmlformats.org/spreadsheetml/2006/main">
  <authors>
    <author>ProLe</author>
  </authors>
  <commentList>
    <comment ref="A36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</commentList>
</comments>
</file>

<file path=xl/comments6.xml><?xml version="1.0" encoding="utf-8"?>
<comments xmlns="http://schemas.openxmlformats.org/spreadsheetml/2006/main">
  <authors>
    <author>ProLe</author>
  </authors>
  <commentList>
    <comment ref="B35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</commentList>
</comments>
</file>

<file path=xl/comments8.xml><?xml version="1.0" encoding="utf-8"?>
<comments xmlns="http://schemas.openxmlformats.org/spreadsheetml/2006/main">
  <authors>
    <author>ProLe</author>
  </authors>
  <commentList>
    <comment ref="D38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</commentList>
</comments>
</file>

<file path=xl/comments9.xml><?xml version="1.0" encoding="utf-8"?>
<comments xmlns="http://schemas.openxmlformats.org/spreadsheetml/2006/main">
  <authors>
    <author>ProLe</author>
  </authors>
  <commentList>
    <comment ref="H36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</commentList>
</comments>
</file>

<file path=xl/sharedStrings.xml><?xml version="1.0" encoding="utf-8"?>
<sst xmlns="http://schemas.openxmlformats.org/spreadsheetml/2006/main" count="997" uniqueCount="357">
  <si>
    <t>ЧЕУСКИНО</t>
  </si>
  <si>
    <t>СИНГАПАЙ</t>
  </si>
  <si>
    <t>ТП-2</t>
  </si>
  <si>
    <t>ТП-3</t>
  </si>
  <si>
    <t>ТП-5</t>
  </si>
  <si>
    <t>ТП-6</t>
  </si>
  <si>
    <t>ТП-1-1</t>
  </si>
  <si>
    <t>ТП-1-2</t>
  </si>
  <si>
    <t>ТП-7</t>
  </si>
  <si>
    <t>ТП-8-1</t>
  </si>
  <si>
    <t>ТП-8-2</t>
  </si>
  <si>
    <t xml:space="preserve">ТП-3-1 </t>
  </si>
  <si>
    <t xml:space="preserve">ТП-3-2 </t>
  </si>
  <si>
    <t xml:space="preserve"> </t>
  </si>
  <si>
    <t>Всего за сутки</t>
  </si>
  <si>
    <t>ТП ООО"Клен"</t>
  </si>
  <si>
    <t>Расход при Кт=15 (кВт*ч)</t>
  </si>
  <si>
    <t>Расход при Кт=30 (кВт*ч)</t>
  </si>
  <si>
    <t>Расход при Кт=1 (кВт*ч)</t>
  </si>
  <si>
    <t>показания сч.№125072 (кВт*ч)</t>
  </si>
  <si>
    <t>Расход при Кт=40 (кВт*ч)</t>
  </si>
  <si>
    <t>Расход при Кт=80 (кВт*ч)</t>
  </si>
  <si>
    <t>Часы</t>
  </si>
  <si>
    <t xml:space="preserve">Показания сч-ка №: 0108059245 (кВт*ч)        </t>
  </si>
  <si>
    <t xml:space="preserve">Показания сч-ка №: 0108056003 (кВт*ч)        </t>
  </si>
  <si>
    <t xml:space="preserve">Показания сч-ка №: 12052421 (кВт*ч)        </t>
  </si>
  <si>
    <t>НЕФТЕЮГАНСК</t>
  </si>
  <si>
    <t>№сч. 040000850 (кВт*ч)</t>
  </si>
  <si>
    <t>№сч. 12007303 (кВт*ч)</t>
  </si>
  <si>
    <t>№сч. 05001101 (кВт*ч)</t>
  </si>
  <si>
    <t>ТСН-1</t>
  </si>
  <si>
    <t>ТСН-2</t>
  </si>
  <si>
    <t>Час записи показаний</t>
  </si>
  <si>
    <t>Итого:</t>
  </si>
  <si>
    <t>Показания счетчиков</t>
  </si>
  <si>
    <t>Активная (кВт*ч)</t>
  </si>
  <si>
    <t>Общий расход</t>
  </si>
  <si>
    <t>А+</t>
  </si>
  <si>
    <t>А-</t>
  </si>
  <si>
    <t>R+</t>
  </si>
  <si>
    <t>R-</t>
  </si>
  <si>
    <t>ПС 110/35/6 "Пойковская" Поселок-2  (№сч. 108062188)</t>
  </si>
  <si>
    <t>ИТОГО:</t>
  </si>
  <si>
    <t>Расход при Кт=120 (кВт*ч)</t>
  </si>
  <si>
    <t>Расход при Кт=200 (кВт*ч)</t>
  </si>
  <si>
    <t>Расход при Кт=60 (кВт*ч)</t>
  </si>
  <si>
    <r>
      <t xml:space="preserve">Расход при Кт=3600 </t>
    </r>
    <r>
      <rPr>
        <b/>
        <sz val="9"/>
        <rFont val="Arial"/>
        <family val="2"/>
      </rPr>
      <t>(кВт*ч)</t>
    </r>
  </si>
  <si>
    <r>
      <t xml:space="preserve">Расход при Кт=3000 </t>
    </r>
    <r>
      <rPr>
        <b/>
        <sz val="9"/>
        <rFont val="Arial"/>
        <family val="2"/>
      </rPr>
      <t>(кВт*ч)</t>
    </r>
  </si>
  <si>
    <t xml:space="preserve">ИТОГО по ПС 110/35/6 "Пойковская" Т-2 </t>
  </si>
  <si>
    <t>Расход     (кВт*ч)</t>
  </si>
  <si>
    <r>
      <t>Р</t>
    </r>
    <r>
      <rPr>
        <b/>
        <sz val="8"/>
        <rFont val="Arial"/>
        <family val="2"/>
      </rPr>
      <t>ср ч</t>
    </r>
  </si>
  <si>
    <r>
      <t>Р</t>
    </r>
    <r>
      <rPr>
        <b/>
        <sz val="8"/>
        <rFont val="Arial"/>
        <family val="2"/>
      </rPr>
      <t>max</t>
    </r>
  </si>
  <si>
    <t>Ктт=2400</t>
  </si>
  <si>
    <t>Лемпино</t>
  </si>
  <si>
    <r>
      <t>К</t>
    </r>
    <r>
      <rPr>
        <b/>
        <i/>
        <sz val="10"/>
        <rFont val="Arial"/>
        <family val="2"/>
      </rPr>
      <t>зап.сут.граф.</t>
    </r>
  </si>
  <si>
    <t>ПОС-1</t>
  </si>
  <si>
    <t>Показ</t>
  </si>
  <si>
    <t>Расход, КвТ.Ч</t>
  </si>
  <si>
    <t>Срезы, КвТ</t>
  </si>
  <si>
    <t>ПОС-2</t>
  </si>
  <si>
    <t>РУ-6 ВВ1</t>
  </si>
  <si>
    <t>ИТОГО</t>
  </si>
  <si>
    <t>Показания сч-ка № 018686 (кВт*ч)</t>
  </si>
  <si>
    <r>
      <t>Р</t>
    </r>
    <r>
      <rPr>
        <b/>
        <sz val="8"/>
        <rFont val="Arial"/>
        <family val="2"/>
      </rPr>
      <t>ср, кВт*ч</t>
    </r>
  </si>
  <si>
    <r>
      <t>Р</t>
    </r>
    <r>
      <rPr>
        <b/>
        <sz val="8"/>
        <rFont val="Arial"/>
        <family val="2"/>
      </rPr>
      <t>max, кВт*ч</t>
    </r>
  </si>
  <si>
    <t>подпись</t>
  </si>
  <si>
    <r>
      <t>Р</t>
    </r>
    <r>
      <rPr>
        <b/>
        <sz val="8"/>
        <rFont val="Arial"/>
        <family val="2"/>
      </rPr>
      <t>ср, кВт</t>
    </r>
  </si>
  <si>
    <r>
      <t>Р</t>
    </r>
    <r>
      <rPr>
        <b/>
        <sz val="8"/>
        <rFont val="Arial"/>
        <family val="2"/>
      </rPr>
      <t>max, кВт</t>
    </r>
  </si>
  <si>
    <t>Пом.эл.мон. ОАО" ПЭС"</t>
  </si>
  <si>
    <t>№сч-ка 120651 (кВт*ч)</t>
  </si>
  <si>
    <t xml:space="preserve">         Лазовская Н.Е.</t>
  </si>
  <si>
    <t>Показания сч-ка № 726316 (кВт*ч)</t>
  </si>
  <si>
    <t>Показания сч-ка № 728846 (кВт*ч)</t>
  </si>
  <si>
    <t>Рср ч</t>
  </si>
  <si>
    <t>Рmax</t>
  </si>
  <si>
    <t>Кзап.сут.граф.</t>
  </si>
  <si>
    <t>РУ-6 ВВ2</t>
  </si>
  <si>
    <t>Пойковский</t>
  </si>
  <si>
    <t>Сингапай</t>
  </si>
  <si>
    <t>ИТОГО по ЭН</t>
  </si>
  <si>
    <t>Рмакс</t>
  </si>
  <si>
    <r>
      <t>К</t>
    </r>
    <r>
      <rPr>
        <b/>
        <i/>
        <sz val="10"/>
        <rFont val="Arial"/>
        <family val="2"/>
      </rPr>
      <t>зап</t>
    </r>
  </si>
  <si>
    <t>ИТОГО по ТЭ</t>
  </si>
  <si>
    <t>Показания сч-ка № 001881 (кВт*ч)</t>
  </si>
  <si>
    <t>№сч. 0011761 (кВт*ч)</t>
  </si>
  <si>
    <t>Итого</t>
  </si>
  <si>
    <t>tg</t>
  </si>
  <si>
    <t>лист-1</t>
  </si>
  <si>
    <t>лист-2</t>
  </si>
  <si>
    <t>лист-3</t>
  </si>
  <si>
    <t>№сч-ка 671120 (кВт*ч)</t>
  </si>
  <si>
    <r>
      <t>К</t>
    </r>
    <r>
      <rPr>
        <b/>
        <i/>
        <vertAlign val="subscript"/>
        <sz val="10"/>
        <rFont val="Arial"/>
        <family val="2"/>
      </rPr>
      <t>зап.сут.граф.</t>
    </r>
  </si>
  <si>
    <t>КАРКАТЕЕВЫ</t>
  </si>
  <si>
    <t>ЛЕМПИНО</t>
  </si>
  <si>
    <t>ПОЙКОВСКИЙ</t>
  </si>
  <si>
    <t>Спортзал "Дружба"</t>
  </si>
  <si>
    <t>КСК "Ника"</t>
  </si>
  <si>
    <t>часы</t>
  </si>
  <si>
    <t>школа №1</t>
  </si>
  <si>
    <t>школа №1            пищеблок-Вв1</t>
  </si>
  <si>
    <t>школа №1            пищеблок-Вв2</t>
  </si>
  <si>
    <t xml:space="preserve"> ООО "Лаверна"                                                                            Кафе "Автогриль"            </t>
  </si>
  <si>
    <t xml:space="preserve">ИП Усынин                                                                            магазин "автозапчасти"           </t>
  </si>
  <si>
    <t>Расход при Кт=20 (кВт*ч)</t>
  </si>
  <si>
    <t>№сч.    766685 (кВт*ч)</t>
  </si>
  <si>
    <t>№сч.    202676 (кВт*ч)</t>
  </si>
  <si>
    <t>№сч.    202680 (кВт*ч)</t>
  </si>
  <si>
    <t>№сч. 013024  (кВт*ч)</t>
  </si>
  <si>
    <t>№сч. 013175  (кВт*ч)</t>
  </si>
  <si>
    <t>№сч. 580698 (кВт*ч)</t>
  </si>
  <si>
    <t>№сч. 39730 (кВт*ч)</t>
  </si>
  <si>
    <t>МАКС.</t>
  </si>
  <si>
    <r>
      <t>К</t>
    </r>
    <r>
      <rPr>
        <b/>
        <i/>
        <sz val="10"/>
        <rFont val="Arial"/>
        <family val="2"/>
      </rPr>
      <t>заполн</t>
    </r>
    <r>
      <rPr>
        <b/>
        <i/>
        <sz val="12"/>
        <rFont val="Arial"/>
        <family val="2"/>
      </rPr>
      <t>.</t>
    </r>
  </si>
  <si>
    <r>
      <t>К</t>
    </r>
    <r>
      <rPr>
        <b/>
        <i/>
        <sz val="10"/>
        <rFont val="Arial"/>
        <family val="2"/>
      </rPr>
      <t>макс</t>
    </r>
    <r>
      <rPr>
        <b/>
        <i/>
        <sz val="12"/>
        <rFont val="Arial"/>
        <family val="2"/>
      </rPr>
      <t>.</t>
    </r>
  </si>
  <si>
    <t>ОАО СМК "Югория-Мед"</t>
  </si>
  <si>
    <t>№сч. 016792 (кВт*ч)</t>
  </si>
  <si>
    <t>№сч. 016799 (кВт*ч)</t>
  </si>
  <si>
    <t>№сч. 016526 (кВт*ч)</t>
  </si>
  <si>
    <t>№сч. 016822 (кВт*ч)</t>
  </si>
  <si>
    <t>д/с Медвежонок</t>
  </si>
  <si>
    <t xml:space="preserve">Показания сч-ка №: 003467  (кВт*ч)         </t>
  </si>
  <si>
    <t xml:space="preserve">Показания сч-ка №: 128097  (кВт*ч)         </t>
  </si>
  <si>
    <t>№сч. 013343 (кВт*ч)</t>
  </si>
  <si>
    <t>ТП СОК "Ветеран"</t>
  </si>
  <si>
    <t>Показания сч-ка № 017376 (кВт*ч)</t>
  </si>
  <si>
    <t>ТП ЗАО "АТС"</t>
  </si>
  <si>
    <t>Показания сч-ка № 018707 (кВт*ч)</t>
  </si>
  <si>
    <t>здание администрации</t>
  </si>
  <si>
    <t>Показания сч.№125691  (кВт*ч)</t>
  </si>
  <si>
    <t>Показания сч.№17466  (кВт*ч)</t>
  </si>
  <si>
    <t>Показания сч.№18273  (кВт*ч)</t>
  </si>
  <si>
    <t>ООО "Лаверна" контейнер</t>
  </si>
  <si>
    <t>№сч. 017465 (кВт*ч)</t>
  </si>
  <si>
    <t>ОАО " ПЭС"                        ВРУ склада</t>
  </si>
  <si>
    <t>ОАО " ПЭС"                              ВРУ мастерских</t>
  </si>
  <si>
    <t>Показания сч.№321403  (кВт*ч)</t>
  </si>
  <si>
    <t>Показания сч.№024248  (кВт*ч)</t>
  </si>
  <si>
    <t>Показания сч.№ 023969 (кВт*ч)</t>
  </si>
  <si>
    <t>Показания сч.№ 023819 (кВт*ч)</t>
  </si>
  <si>
    <t>Показания сч.№ 165690 (кВт*ч)</t>
  </si>
  <si>
    <t>Показания сч.№ 164287 (кВт*ч)</t>
  </si>
  <si>
    <t>Показания сч.№ 147656 (кВт*ч)</t>
  </si>
  <si>
    <t>Показания сч.№ 023999 (кВт*ч)</t>
  </si>
  <si>
    <t>Показания сч.№315616  (кВт*ч)</t>
  </si>
  <si>
    <t>Д/сад "Капелька"                Ввод-1</t>
  </si>
  <si>
    <t>Д/сад "Капелька"                Ввод-2</t>
  </si>
  <si>
    <t xml:space="preserve">Д/сад "Солнышко"               </t>
  </si>
  <si>
    <t>№сч .   05468279 (кВт*ч)</t>
  </si>
  <si>
    <t>ООО "Лаверна", кафе "Лаверна" от сетей ООО "ЮНГ "Энергонефть"</t>
  </si>
  <si>
    <t>№сч. 027327 (кВт*ч)</t>
  </si>
  <si>
    <t>Расход при Кт=120  (кВт*ч)</t>
  </si>
  <si>
    <t>ИТОГО по ПС 110/35/6 "Пойковская" Т-1</t>
  </si>
  <si>
    <t>Ул.осв.   ТП-1, ф-8</t>
  </si>
  <si>
    <t>Ул.осв.    ТП-2, ф-9</t>
  </si>
  <si>
    <t>Ул.осв.     ТП-3, ф-2</t>
  </si>
  <si>
    <t>Ул.осв.  ТП-4</t>
  </si>
  <si>
    <t>Ул.осв.  ТП-5, ф-9</t>
  </si>
  <si>
    <t>Ул.осв.  ТП-6</t>
  </si>
  <si>
    <t>№сч-ка 024522 (кВт*ч)</t>
  </si>
  <si>
    <t>№сч-ка 023813 (кВт*ч)</t>
  </si>
  <si>
    <t>№сч-ка 120585 (кВт*ч)</t>
  </si>
  <si>
    <t>№сч-ка 040949 (кВт*ч)</t>
  </si>
  <si>
    <t>№сч-ка 1391 (кВт*ч)</t>
  </si>
  <si>
    <t>№сч-ка 577906 (кВт*ч)</t>
  </si>
  <si>
    <t xml:space="preserve">сингапай </t>
  </si>
  <si>
    <t>Ул.осв. ТП-1, ф-1</t>
  </si>
  <si>
    <t>Ул.осв. ТП-1, ф-9</t>
  </si>
  <si>
    <t>Ул.осв. ТП-3, ф-7</t>
  </si>
  <si>
    <t xml:space="preserve">Показания сч-ка №: 096758 (кВт*ч)        </t>
  </si>
  <si>
    <r>
      <t xml:space="preserve">Расход при Кт=1 </t>
    </r>
    <r>
      <rPr>
        <b/>
        <sz val="9"/>
        <rFont val="Arial"/>
        <family val="2"/>
      </rPr>
      <t>(кВт*ч)</t>
    </r>
  </si>
  <si>
    <t xml:space="preserve">Показания сч-ка №: 096513 (кВт*ч)        </t>
  </si>
  <si>
    <t xml:space="preserve">Показания сч-ка №: 309509 (кВт*ч)        </t>
  </si>
  <si>
    <t>Ул. осв. ТП-1</t>
  </si>
  <si>
    <t>Ул. осв. ТП-2</t>
  </si>
  <si>
    <t>Ул. осв. ТП-3</t>
  </si>
  <si>
    <t>Ул. осв. ТП-4</t>
  </si>
  <si>
    <t>Ул. осв. ТП-5</t>
  </si>
  <si>
    <t>Ул. осв. ТП-6</t>
  </si>
  <si>
    <t xml:space="preserve">ИТОГО по ПС 110/35/6 "Пойковская" </t>
  </si>
  <si>
    <t>№сч. 030755  (кВт*ч)</t>
  </si>
  <si>
    <t>Лемпино, котельная</t>
  </si>
  <si>
    <t xml:space="preserve">№сч. 17018 </t>
  </si>
  <si>
    <t>№сч. 17019</t>
  </si>
  <si>
    <t>Арт-скважина</t>
  </si>
  <si>
    <t>№сч. 23617</t>
  </si>
  <si>
    <t>Показания сч-ка № 052071 (кВт*ч)</t>
  </si>
  <si>
    <t>АХС Север</t>
  </si>
  <si>
    <t>Показания сч.№ 125732  (кВт*ч)</t>
  </si>
  <si>
    <t>школа № 1</t>
  </si>
  <si>
    <t>столовая школы № 1</t>
  </si>
  <si>
    <t>Показания сч.№125391 (кВт*ч)</t>
  </si>
  <si>
    <t>Показания сч.№319464 (кВт*ч)</t>
  </si>
  <si>
    <t>Ул.осв.   ТП-1, ф-15</t>
  </si>
  <si>
    <t>Показания сч.№315008 (кВт*ч)</t>
  </si>
  <si>
    <t>Ул.осв.    ТП-2</t>
  </si>
  <si>
    <t>Ул.осв.     ТП-3, ф-15</t>
  </si>
  <si>
    <t>Ул.осв.  ТП-4, ф-5</t>
  </si>
  <si>
    <t>Ул.осв.  ТП-5, ф-6</t>
  </si>
  <si>
    <t>№сч. 023154 (кВт*ч)</t>
  </si>
  <si>
    <t>ООО "ЗССК" производственная база</t>
  </si>
  <si>
    <t>ЗАО "Авиокомпания Конверс Авиа" вертолетная площадка</t>
  </si>
  <si>
    <t>Расход при Кт=160 (кВт*ч)</t>
  </si>
  <si>
    <t>Итого по АК "Транснефть-Сибирь" Нефтеюганское УМН</t>
  </si>
  <si>
    <t>№сч.                     041385 (кВт*ч)</t>
  </si>
  <si>
    <t>ТП -11-1</t>
  </si>
  <si>
    <t>ТП -11-2</t>
  </si>
  <si>
    <t>Показания сч-ка № 006027 (кВт*ч)</t>
  </si>
  <si>
    <t>Расход при Кт=300 (кВт*ч)</t>
  </si>
  <si>
    <t>Показания сч-ка № 006030 (кВт*ч)</t>
  </si>
  <si>
    <t>Начальник  АО "Транснефть-Сибирь" Нефтеюганское УМН</t>
  </si>
  <si>
    <t>Пробст В.А.</t>
  </si>
  <si>
    <t>24965</t>
  </si>
  <si>
    <t>№сч. 360861  (кВт*ч)</t>
  </si>
  <si>
    <t>Итого по ООО "РН-Юганскнефтегаз"</t>
  </si>
  <si>
    <t>Итого по АО "Тюменьэнерго", АК "Транснефть-Сибирь" Нефтеюганское УМН,                                                                                                      ООО "РН-Юганскнефтегаз"</t>
  </si>
  <si>
    <t xml:space="preserve">Гайфуллин В.Р. </t>
  </si>
  <si>
    <t>Начальник сектора У и Р ЭЭ ООО «РН – Юганскнефтегаз»</t>
  </si>
  <si>
    <t xml:space="preserve">ИТОГО по ПС 110/35/6 "Пойковская" Т-1 </t>
  </si>
  <si>
    <t>Транзит в сети ООО "РН-Юганскнефтегаз"</t>
  </si>
  <si>
    <t>Итого АО "Тюменьэнерго"</t>
  </si>
  <si>
    <t>кВт*ч</t>
  </si>
  <si>
    <t>ТП -12-1</t>
  </si>
  <si>
    <t>ТП -12-2</t>
  </si>
  <si>
    <t>ТП Екатеринбург-2000</t>
  </si>
  <si>
    <t>Показания сч-ка № 01129278 (кВт*ч)</t>
  </si>
  <si>
    <t>Показания сч-ка № 387809 (кВт*ч)</t>
  </si>
  <si>
    <t>Показания сч-ка № 352534 (кВт*ч)</t>
  </si>
  <si>
    <t>Показания сч-ка№ 1159832 (кВт*ч)</t>
  </si>
  <si>
    <t xml:space="preserve">ТП-1 </t>
  </si>
  <si>
    <t>Показания сч-ка № 006031 (кВт*ч)</t>
  </si>
  <si>
    <t>Показания сч-ка № 006034 (кВт*ч)</t>
  </si>
  <si>
    <t>ПС 110/35/6 "Пойковская" Поселок-1  (№сч. 0804150985)</t>
  </si>
  <si>
    <t>ПС 110/35/6 "Пойковская" Поселок-2  (№сч. 0809151603)</t>
  </si>
  <si>
    <t>ЗРУ-6кВ "Пойковская" Ввод1  (№сч. 0812141301)</t>
  </si>
  <si>
    <t>ЗРУ-6кВ "Пойковская" Ввод2    (№сч. 0808140916)</t>
  </si>
  <si>
    <t>ЗРУ-6кВ "Пойковская"    ТСН-1  (№сч.  802150944)</t>
  </si>
  <si>
    <t>ЗРУ-6кВ "Пойковская"    ТСН-2   (№сч.  802150996)</t>
  </si>
  <si>
    <t>Начальник СУРЭМ филиала АО "Горэлектросеть"  "ПЭС"</t>
  </si>
  <si>
    <t xml:space="preserve">Директор филиала АО "Горэлектросеть"  "ПЭС"  </t>
  </si>
  <si>
    <t>ИТОГО по филиала АО "Горэлектросеть"  "ПЭС"</t>
  </si>
  <si>
    <t>Пом.эл.мон. филиала АО "Горэлектросеть"  "ПЭС"</t>
  </si>
  <si>
    <t>Вагон-бытовка филиала АО "Горэлектросеть"  "ПЭС"</t>
  </si>
  <si>
    <t>филиала АО "Горэлектросеть"  "ПЭС"         Адм. здания управления</t>
  </si>
  <si>
    <t>филиала АО "Горэлектросеть"  "ПЭС"         Транспортный участок</t>
  </si>
  <si>
    <t>филиала АО "Горэлектросеть"  "ПЭС"                         здание цеха по ремонту</t>
  </si>
  <si>
    <t>филиала АО "Горэлектросеть"  "ПЭС"                                    здание АБК</t>
  </si>
  <si>
    <t>Погорелов  Е.Г.</t>
  </si>
  <si>
    <t>ТП-4-1</t>
  </si>
  <si>
    <t>ТП-4-2</t>
  </si>
  <si>
    <t>Итого по АО "Тюмень-энерго"</t>
  </si>
  <si>
    <t>Погорелов Е.Г.</t>
  </si>
  <si>
    <t>лист-4</t>
  </si>
  <si>
    <t>Ведомость замеров электрических нагрузок в сетях филиала АО "Горэлектросеть"  "ПЭС", присоединенных к сетям ООО "РН-Юганскнефтегаз", 21-22 июня 2017г.</t>
  </si>
  <si>
    <t>Лист 1</t>
  </si>
  <si>
    <t>Лист 2</t>
  </si>
  <si>
    <t>Маркова В.В.</t>
  </si>
  <si>
    <t>Директор филиала АО "Тюменьэнерго" НЮЭС</t>
  </si>
  <si>
    <t>Директор  филиала АО "Тюменьэнерго" НЮЭС</t>
  </si>
  <si>
    <t>Ячейка учета сп. Лемпино</t>
  </si>
  <si>
    <t>ТП-"РОВД" (г. Нефтеюганск) Т-2</t>
  </si>
  <si>
    <t>ТП-"РОВД" (г. Нефтеюганск) Т-1</t>
  </si>
  <si>
    <t xml:space="preserve">Показания сч-ка № 357050 (кВт*ч)               </t>
  </si>
  <si>
    <t xml:space="preserve">Показания сч-ка № 366677 (кВт*ч)  </t>
  </si>
  <si>
    <t>Показания счетчика</t>
  </si>
  <si>
    <t>ИТОГО по ТП-РОВД, Квт.ч</t>
  </si>
  <si>
    <t>ИТОГО по сп. СИНГАПАЙ, кВт*ч</t>
  </si>
  <si>
    <t>ТП -13-2</t>
  </si>
  <si>
    <t>ТП -13-1</t>
  </si>
  <si>
    <t>ТП -14</t>
  </si>
  <si>
    <t>ТП -15</t>
  </si>
  <si>
    <t>ТП-ЮТС</t>
  </si>
  <si>
    <t>Показания сч-ка № 01149646 (кВт*ч)</t>
  </si>
  <si>
    <t>Показания сч-ка № 006741 (кВт*ч)</t>
  </si>
  <si>
    <t>Показания сч-ка № 006749 (кВт*ч)</t>
  </si>
  <si>
    <t>Показания сч-ка № 370235 (кВт*ч)</t>
  </si>
  <si>
    <t>Показания сч-ка № 1199466 (кВт*ч)</t>
  </si>
  <si>
    <t>ИТОГО по сп. ЧЕУСКИНО, кВт*ч</t>
  </si>
  <si>
    <t xml:space="preserve">Показания сч-ка №371507 (кВт*ч)         </t>
  </si>
  <si>
    <t xml:space="preserve">Показания сч-ка №1175750 (кВт*ч)       </t>
  </si>
  <si>
    <t xml:space="preserve">Показания сч-ка №388119  (кВт*ч)        </t>
  </si>
  <si>
    <t xml:space="preserve">Показания сч-ка №392893  (кВт*ч)        </t>
  </si>
  <si>
    <t xml:space="preserve">Показания сч-ка №399236   (кВт*ч)       </t>
  </si>
  <si>
    <t xml:space="preserve">Показания сч-ка №733318  (кВт*ч)        </t>
  </si>
  <si>
    <t xml:space="preserve">Показания сч-ка №052074  (кВт*ч)         </t>
  </si>
  <si>
    <t xml:space="preserve">Показания сч-ка №733341 (кВт*ч)        </t>
  </si>
  <si>
    <t>Итого по ЮБЭО ООО "РН-Юганскнефтегаз", кВт*ч</t>
  </si>
  <si>
    <r>
      <t xml:space="preserve">НУМН сп. Каркатеевы яч. 29 </t>
    </r>
    <r>
      <rPr>
        <b/>
        <sz val="10"/>
        <color indexed="12"/>
        <rFont val="Arial"/>
        <family val="2"/>
      </rPr>
      <t>СЭТ-4ТМ.03 №108059245</t>
    </r>
  </si>
  <si>
    <r>
      <t xml:space="preserve">НУМН сп. Каркатеевы яч. 36 </t>
    </r>
    <r>
      <rPr>
        <b/>
        <sz val="10"/>
        <color indexed="12"/>
        <rFont val="Arial"/>
        <family val="2"/>
      </rPr>
      <t>СЭТ-4ТМ.03 №108056003</t>
    </r>
  </si>
  <si>
    <r>
      <t xml:space="preserve">НУМН сп. Каркатеевы яч. 32 </t>
    </r>
    <r>
      <rPr>
        <b/>
        <sz val="10"/>
        <color indexed="12"/>
        <rFont val="Arial"/>
        <family val="2"/>
      </rPr>
      <t>СЭТ-4ТМ.03 №108056008</t>
    </r>
  </si>
  <si>
    <r>
      <t>19 декабря 20</t>
    </r>
    <r>
      <rPr>
        <b/>
        <sz val="12"/>
        <color indexed="12"/>
        <rFont val="Arial"/>
        <family val="2"/>
      </rPr>
      <t>18</t>
    </r>
    <r>
      <rPr>
        <b/>
        <sz val="12"/>
        <rFont val="Arial"/>
        <family val="2"/>
      </rPr>
      <t>г.</t>
    </r>
  </si>
  <si>
    <t>Начальник СУРЭМ</t>
  </si>
  <si>
    <t>/Костылина Л.Ж.</t>
  </si>
  <si>
    <r>
      <t>Ведомость замеров электрических нагрузок в сетях филиала АО "Горэлектросеть"  "ПЭС", присоединенных к сетям ООО "РН-Юганскнефтегаз", 19  декабря 20</t>
    </r>
    <r>
      <rPr>
        <b/>
        <sz val="14"/>
        <color indexed="12"/>
        <rFont val="Arial"/>
        <family val="2"/>
      </rPr>
      <t>18</t>
    </r>
    <r>
      <rPr>
        <b/>
        <sz val="14"/>
        <rFont val="Arial"/>
        <family val="2"/>
      </rPr>
      <t>г.</t>
    </r>
  </si>
  <si>
    <t>Показания сч-ка№ 125965 (кВт*ч)</t>
  </si>
  <si>
    <t>ТП-Ремстройкомплект</t>
  </si>
  <si>
    <t>Показания сч-ка № 4300001067 (кВт*ч)</t>
  </si>
  <si>
    <t>ПС 35/6 кВ №113&gt; ф.113-07  АП[кВт]</t>
  </si>
  <si>
    <t>ПС 35/6 кВ №113&gt; ф.113-07  РП[кВт]</t>
  </si>
  <si>
    <t>ПС 35/6 кВ №180&gt;ф.180-07  АП[кВт]</t>
  </si>
  <si>
    <t>ПС 35/6 кВ №180&gt;ф.180-07 РП[кВт]</t>
  </si>
  <si>
    <t>ПС 35/6 кВ №180&gt;ф.180-17 АП[кВт]</t>
  </si>
  <si>
    <t>Сводная ведомость контрольных замеров электрических нагрузок в сетях филиала АО "Горэлектросеть" "ПЭС", присоединенных к сетям ООО "РН-Юганскнефтегаз",</t>
  </si>
  <si>
    <t>Юганская Обь, ПС 35/6 кВ №113  ф.113-07 №388948</t>
  </si>
  <si>
    <t>сп.Усть-Юган, ПС 35/6 кВ №180 ф.180-07 №389028</t>
  </si>
  <si>
    <t>сп.Усть-Юган, ПС 35/6 кВ №180 ф.180-17  №389022</t>
  </si>
  <si>
    <r>
      <t xml:space="preserve">Расход при Кт=2400 </t>
    </r>
    <r>
      <rPr>
        <b/>
        <sz val="9"/>
        <rFont val="Arial"/>
        <family val="2"/>
      </rPr>
      <t>(кВт*ч)</t>
    </r>
  </si>
  <si>
    <r>
      <t>Расход при Кт=1800</t>
    </r>
    <r>
      <rPr>
        <b/>
        <sz val="9"/>
        <rFont val="Arial"/>
        <family val="2"/>
      </rPr>
      <t>(кВт*ч)</t>
    </r>
  </si>
  <si>
    <t>Итого по сп.Усть-Юган, сп.Юганская Обь</t>
  </si>
  <si>
    <t xml:space="preserve">Юганская Обь, ПС 35/6 кВ №113  ф.113-07 </t>
  </si>
  <si>
    <r>
      <t>№388948 Расход при Кт=1800</t>
    </r>
    <r>
      <rPr>
        <b/>
        <sz val="9"/>
        <rFont val="Arial"/>
        <family val="2"/>
      </rPr>
      <t>(кВт*ч)</t>
    </r>
  </si>
  <si>
    <t xml:space="preserve">сп.Усть-Юган, ПС 35/6 кВ №180 ф.180-07 </t>
  </si>
  <si>
    <r>
      <t xml:space="preserve">№389028 Расход при Кт=2400 </t>
    </r>
    <r>
      <rPr>
        <b/>
        <sz val="9"/>
        <rFont val="Arial"/>
        <family val="2"/>
      </rPr>
      <t>(кВт*ч)</t>
    </r>
  </si>
  <si>
    <t xml:space="preserve">сп.Усть-Юган, ПС 35/6 кВ №180 ф.180-17 </t>
  </si>
  <si>
    <r>
      <t xml:space="preserve"> №389022 Расход при Кт=3600 </t>
    </r>
    <r>
      <rPr>
        <b/>
        <sz val="9"/>
        <rFont val="Arial"/>
        <family val="2"/>
      </rPr>
      <t>(кВт*ч)</t>
    </r>
  </si>
  <si>
    <t>ПС ЛПХ яч.3 В-10 Водозобор-1  (№сч. 21754071)</t>
  </si>
  <si>
    <t>ПС ЛПХ яч.8 В-10 Водозобор-2 (№сч. 21754079)</t>
  </si>
  <si>
    <t>Ведомость контрольных замеров электрических нагрузок в сетях филиала АО "Горэлектросеть" "ПЭС", присоединенных к сетям ООО "РН-Юганскнефтегаз",</t>
  </si>
  <si>
    <t>сп.Каркатеевы</t>
  </si>
  <si>
    <t>сп.Усть-Юган, сп.Юганская Обь</t>
  </si>
  <si>
    <t>Предоставляет Пихоцкая С.С.</t>
  </si>
  <si>
    <t>Предоставляет Зубенко или Михеев</t>
  </si>
  <si>
    <t>Ведомость контрольных замеров электрических нагрузок в сетях филиала АО "Горэлектросеть" "ПЭС", присоединенных к сетям АО "Транснефть-Сибирь" Нефтеюганское УМН,</t>
  </si>
  <si>
    <t>г.Нефтеюганск, здание РОВД</t>
  </si>
  <si>
    <t>сп.Сингапай</t>
  </si>
  <si>
    <t>сп.Чеускино</t>
  </si>
  <si>
    <t>НПС-Остров</t>
  </si>
  <si>
    <t xml:space="preserve">ТП-2-1 </t>
  </si>
  <si>
    <t xml:space="preserve">ТП-2-2 </t>
  </si>
  <si>
    <t>ТП-КРС</t>
  </si>
  <si>
    <t>сп.Сентябрьский</t>
  </si>
  <si>
    <t xml:space="preserve">Показания сч-ка №32373242 (кВт*ч)        </t>
  </si>
  <si>
    <t xml:space="preserve">Показания сч-ка №32373166 (кВт*ч)        </t>
  </si>
  <si>
    <t xml:space="preserve">Показания сч-ка №10192878   (кВт*ч)       </t>
  </si>
  <si>
    <t xml:space="preserve">Показания сч-ка №16788457  (кВт*ч)        </t>
  </si>
  <si>
    <t xml:space="preserve">Показания сч-ка №32373351 (кВт*ч)         </t>
  </si>
  <si>
    <t xml:space="preserve">Показания сч-ка №32373435 (кВт*ч)       </t>
  </si>
  <si>
    <t>ИТОГО по сп. Сентябрьский, кВт*ч</t>
  </si>
  <si>
    <t>Общая ведомость контрольных замеров электрических нагрузок в сетях филиала АО "Горэлектросеть" "ПЭС", присоединенных к сетям ООО "РН-Юганскнефтегаз"</t>
  </si>
  <si>
    <t>Общая ведомость контрольных замеров электрических нагрузок в сетях филиала АО "Горэлектросеть" "ПЭС", присоединенных к сетям АО "Транснефть-Сибирь" Нефтеюганское УМН</t>
  </si>
  <si>
    <t xml:space="preserve">Общая ведомость контрольных замеров электрических нагрузок в сетях филиала АО "Горэлектросеть" "ПЭС", присоединенных к сетямАО "Тюменьэнерго"НЮЭС </t>
  </si>
  <si>
    <t>19 июня 2019 год</t>
  </si>
  <si>
    <t>Ведомость замеров электрических нагрузок в сетях  филиала АО "Горэлектросеть"  "ПЭС", присоединенных к сетям  филиала АО "Тюменьэнерго"НЮЭС 2018г.</t>
  </si>
  <si>
    <t>гп.Пойковский</t>
  </si>
  <si>
    <t xml:space="preserve">Ведомость замеров электрических нагрузок в сетях  филиала АО "Горэлектросеть"  "ПЭС", присоединенных к сетям  филиала АО "Тюменьэнерго"НЮЭС  </t>
  </si>
  <si>
    <t>сп.Салым</t>
  </si>
  <si>
    <t>сп.Куть-Ях</t>
  </si>
  <si>
    <t>сп.Сивыс-Ях</t>
  </si>
  <si>
    <t>Итого по РЖД</t>
  </si>
  <si>
    <t>Ведомость замеров электрических нагрузок в сетях  филиала АО "Горэлектросеть"  "ПЭС", присоединенных к сетям  РЖД</t>
  </si>
  <si>
    <t>Ведомость замеров электрических нагрузок в сетях  филиала АО "Горэлектросеть"  "ПЭС", присоединенных к сетям РЖД</t>
  </si>
  <si>
    <t>Сводная ведомость контрольных замеров электрических нагрузок в сетях филиала АО "Горэлектросеть"  "ПЭС", присоединенных к сетям АО "Тюменьэнерго", АК "Транснефть-Сибирь" Нефтеюганское УМН,  ООО "РН-Юганскнефтегаз", ОАО РЖД</t>
  </si>
  <si>
    <r>
      <t xml:space="preserve">НПС "Остров" ЗРУ 6 кВ Ввод №1, яч.2 </t>
    </r>
    <r>
      <rPr>
        <b/>
        <sz val="10"/>
        <color indexed="12"/>
        <rFont val="Arial"/>
        <family val="2"/>
      </rPr>
      <t>СЭТ-4ТМ.03 №0804180023</t>
    </r>
  </si>
  <si>
    <r>
      <t xml:space="preserve">НПС "Остров" ЗРУ 6 кВ Ввод №2, яч.22 </t>
    </r>
    <r>
      <rPr>
        <b/>
        <sz val="10"/>
        <color indexed="12"/>
        <rFont val="Arial"/>
        <family val="2"/>
      </rPr>
      <t>СЭТ-4ТМ.03 №0804180006</t>
    </r>
  </si>
  <si>
    <t>Итого по  АО "Транснефть-Сибирь" Нефтеюганское УМН, кВт*ч</t>
  </si>
  <si>
    <r>
      <t xml:space="preserve">Расход при Кт=2000 </t>
    </r>
    <r>
      <rPr>
        <b/>
        <sz val="9"/>
        <rFont val="Arial"/>
        <family val="2"/>
      </rPr>
      <t>(кВт*ч)</t>
    </r>
  </si>
  <si>
    <r>
      <t xml:space="preserve">ЛПДС "Салым", ЗРУ-2 яч. 24 </t>
    </r>
    <r>
      <rPr>
        <b/>
        <sz val="10"/>
        <color indexed="12"/>
        <rFont val="Arial"/>
        <family val="2"/>
      </rPr>
      <t>СЭТ-4ТМ.03 №0804171226</t>
    </r>
  </si>
  <si>
    <r>
      <t xml:space="preserve">ЛПДС "Салым", ЗРУ-2 яч. 23 </t>
    </r>
    <r>
      <rPr>
        <b/>
        <sz val="10"/>
        <color indexed="12"/>
        <rFont val="Arial"/>
        <family val="2"/>
      </rPr>
      <t>СЭТ-4ТМ.03 №0804171368</t>
    </r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</si>
</sst>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0.00000"/>
    <numFmt numFmtId="200" formatCode="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_(* #,##0.00000000000_);_(* \(#,##0.00000000000\);_(* &quot;-&quot;??_);_(@_)"/>
    <numFmt numFmtId="214" formatCode="0.0000000000"/>
    <numFmt numFmtId="215" formatCode="0.00000000000"/>
    <numFmt numFmtId="216" formatCode="0.000000000"/>
    <numFmt numFmtId="217" formatCode="0.00000000"/>
    <numFmt numFmtId="218" formatCode="0.0000000"/>
    <numFmt numFmtId="219" formatCode="0.000000"/>
    <numFmt numFmtId="220" formatCode="#,##0.000"/>
    <numFmt numFmtId="221" formatCode="#,##0.0000"/>
    <numFmt numFmtId="222" formatCode="#,##0.00000"/>
  </numFmts>
  <fonts count="107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Times New Roman"/>
      <family val="1"/>
    </font>
    <font>
      <b/>
      <sz val="9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i/>
      <vertAlign val="subscript"/>
      <sz val="10"/>
      <name val="Arial"/>
      <family val="2"/>
    </font>
    <font>
      <sz val="9"/>
      <name val="Times New Roman"/>
      <family val="1"/>
    </font>
    <font>
      <sz val="9"/>
      <name val="Tahoma"/>
      <family val="2"/>
    </font>
    <font>
      <b/>
      <sz val="14"/>
      <color indexed="12"/>
      <name val="Arial"/>
      <family val="2"/>
    </font>
    <font>
      <b/>
      <sz val="11"/>
      <name val="Times New Roman"/>
      <family val="1"/>
    </font>
    <font>
      <b/>
      <sz val="10"/>
      <color indexed="12"/>
      <name val="Arial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sz val="10"/>
      <color indexed="62"/>
      <name val="Arial Cyr"/>
      <family val="2"/>
    </font>
    <font>
      <sz val="11"/>
      <color indexed="62"/>
      <name val="Calibri"/>
      <family val="2"/>
    </font>
    <font>
      <b/>
      <sz val="10"/>
      <color indexed="63"/>
      <name val="Arial Cyr"/>
      <family val="2"/>
    </font>
    <font>
      <b/>
      <sz val="11"/>
      <color indexed="63"/>
      <name val="Calibri"/>
      <family val="2"/>
    </font>
    <font>
      <b/>
      <sz val="10"/>
      <color indexed="52"/>
      <name val="Arial Cyr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Arial Cyr"/>
      <family val="2"/>
    </font>
    <font>
      <b/>
      <sz val="13"/>
      <color indexed="56"/>
      <name val="Calibri"/>
      <family val="2"/>
    </font>
    <font>
      <b/>
      <sz val="11"/>
      <color indexed="56"/>
      <name val="Arial Cyr"/>
      <family val="2"/>
    </font>
    <font>
      <b/>
      <sz val="11"/>
      <color indexed="56"/>
      <name val="Calibri"/>
      <family val="2"/>
    </font>
    <font>
      <b/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0"/>
      <color indexed="9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sz val="11"/>
      <color indexed="20"/>
      <name val="Calibri"/>
      <family val="2"/>
    </font>
    <font>
      <i/>
      <sz val="10"/>
      <color indexed="23"/>
      <name val="Arial Cyr"/>
      <family val="2"/>
    </font>
    <font>
      <i/>
      <sz val="11"/>
      <color indexed="23"/>
      <name val="Calibri"/>
      <family val="2"/>
    </font>
    <font>
      <sz val="10"/>
      <color indexed="52"/>
      <name val="Arial Cyr"/>
      <family val="2"/>
    </font>
    <font>
      <sz val="11"/>
      <color indexed="52"/>
      <name val="Calibri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0"/>
      <color indexed="17"/>
      <name val="Arial Cyr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theme="1"/>
      <name val="Arial Cyr"/>
      <family val="2"/>
    </font>
    <font>
      <sz val="11"/>
      <color theme="1"/>
      <name val="Calibri"/>
      <family val="2"/>
    </font>
    <font>
      <sz val="10"/>
      <color theme="0"/>
      <name val="Arial Cyr"/>
      <family val="2"/>
    </font>
    <font>
      <sz val="11"/>
      <color theme="0"/>
      <name val="Calibri"/>
      <family val="2"/>
    </font>
    <font>
      <sz val="10"/>
      <color rgb="FF3F3F76"/>
      <name val="Arial Cyr"/>
      <family val="2"/>
    </font>
    <font>
      <sz val="11"/>
      <color rgb="FF3F3F76"/>
      <name val="Calibri"/>
      <family val="2"/>
    </font>
    <font>
      <b/>
      <sz val="10"/>
      <color rgb="FF3F3F3F"/>
      <name val="Arial Cyr"/>
      <family val="2"/>
    </font>
    <font>
      <b/>
      <sz val="11"/>
      <color rgb="FF3F3F3F"/>
      <name val="Calibri"/>
      <family val="2"/>
    </font>
    <font>
      <b/>
      <sz val="10"/>
      <color rgb="FFFA7D00"/>
      <name val="Arial Cyr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Arial Cyr"/>
      <family val="2"/>
    </font>
    <font>
      <b/>
      <sz val="13"/>
      <color theme="3"/>
      <name val="Calibri"/>
      <family val="2"/>
    </font>
    <font>
      <b/>
      <sz val="11"/>
      <color theme="3"/>
      <name val="Arial Cyr"/>
      <family val="2"/>
    </font>
    <font>
      <b/>
      <sz val="11"/>
      <color theme="3"/>
      <name val="Calibri"/>
      <family val="2"/>
    </font>
    <font>
      <b/>
      <sz val="10"/>
      <color theme="1"/>
      <name val="Arial Cyr"/>
      <family val="2"/>
    </font>
    <font>
      <b/>
      <sz val="11"/>
      <color theme="1"/>
      <name val="Calibri"/>
      <family val="2"/>
    </font>
    <font>
      <b/>
      <sz val="10"/>
      <color theme="0"/>
      <name val="Arial Cyr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sz val="11"/>
      <color rgb="FF9C0006"/>
      <name val="Calibri"/>
      <family val="2"/>
    </font>
    <font>
      <i/>
      <sz val="10"/>
      <color rgb="FF7F7F7F"/>
      <name val="Arial Cyr"/>
      <family val="2"/>
    </font>
    <font>
      <i/>
      <sz val="11"/>
      <color rgb="FF7F7F7F"/>
      <name val="Calibri"/>
      <family val="2"/>
    </font>
    <font>
      <sz val="10"/>
      <color rgb="FFFA7D00"/>
      <name val="Arial Cyr"/>
      <family val="2"/>
    </font>
    <font>
      <sz val="11"/>
      <color rgb="FFFA7D00"/>
      <name val="Calibri"/>
      <family val="2"/>
    </font>
    <font>
      <sz val="10"/>
      <color rgb="FFFF0000"/>
      <name val="Arial Cyr"/>
      <family val="2"/>
    </font>
    <font>
      <sz val="11"/>
      <color rgb="FFFF0000"/>
      <name val="Calibri"/>
      <family val="2"/>
    </font>
    <font>
      <sz val="10"/>
      <color rgb="FF006100"/>
      <name val="Arial Cyr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sz val="12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5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1" fillId="2" borderId="0" applyNumberFormat="0" applyBorder="0" applyAlignment="0" applyProtection="0"/>
    <xf numFmtId="0" fontId="70" fillId="3" borderId="0" applyNumberFormat="0" applyBorder="0" applyAlignment="0" applyProtection="0"/>
    <xf numFmtId="0" fontId="71" fillId="3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5" borderId="0" applyNumberFormat="0" applyBorder="0" applyAlignment="0" applyProtection="0"/>
    <xf numFmtId="0" fontId="71" fillId="5" borderId="0" applyNumberFormat="0" applyBorder="0" applyAlignment="0" applyProtection="0"/>
    <xf numFmtId="0" fontId="70" fillId="6" borderId="0" applyNumberFormat="0" applyBorder="0" applyAlignment="0" applyProtection="0"/>
    <xf numFmtId="0" fontId="71" fillId="6" borderId="0" applyNumberFormat="0" applyBorder="0" applyAlignment="0" applyProtection="0"/>
    <xf numFmtId="0" fontId="70" fillId="7" borderId="0" applyNumberFormat="0" applyBorder="0" applyAlignment="0" applyProtection="0"/>
    <xf numFmtId="0" fontId="71" fillId="7" borderId="0" applyNumberFormat="0" applyBorder="0" applyAlignment="0" applyProtection="0"/>
    <xf numFmtId="0" fontId="70" fillId="8" borderId="0" applyNumberFormat="0" applyBorder="0" applyAlignment="0" applyProtection="0"/>
    <xf numFmtId="0" fontId="71" fillId="8" borderId="0" applyNumberFormat="0" applyBorder="0" applyAlignment="0" applyProtection="0"/>
    <xf numFmtId="0" fontId="70" fillId="9" borderId="0" applyNumberFormat="0" applyBorder="0" applyAlignment="0" applyProtection="0"/>
    <xf numFmtId="0" fontId="71" fillId="9" borderId="0" applyNumberFormat="0" applyBorder="0" applyAlignment="0" applyProtection="0"/>
    <xf numFmtId="0" fontId="70" fillId="10" borderId="0" applyNumberFormat="0" applyBorder="0" applyAlignment="0" applyProtection="0"/>
    <xf numFmtId="0" fontId="71" fillId="10" borderId="0" applyNumberFormat="0" applyBorder="0" applyAlignment="0" applyProtection="0"/>
    <xf numFmtId="0" fontId="70" fillId="11" borderId="0" applyNumberFormat="0" applyBorder="0" applyAlignment="0" applyProtection="0"/>
    <xf numFmtId="0" fontId="71" fillId="11" borderId="0" applyNumberFormat="0" applyBorder="0" applyAlignment="0" applyProtection="0"/>
    <xf numFmtId="0" fontId="70" fillId="12" borderId="0" applyNumberFormat="0" applyBorder="0" applyAlignment="0" applyProtection="0"/>
    <xf numFmtId="0" fontId="71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5" borderId="0" applyNumberFormat="0" applyBorder="0" applyAlignment="0" applyProtection="0"/>
    <xf numFmtId="0" fontId="73" fillId="15" borderId="0" applyNumberFormat="0" applyBorder="0" applyAlignment="0" applyProtection="0"/>
    <xf numFmtId="0" fontId="72" fillId="16" borderId="0" applyNumberFormat="0" applyBorder="0" applyAlignment="0" applyProtection="0"/>
    <xf numFmtId="0" fontId="73" fillId="16" borderId="0" applyNumberFormat="0" applyBorder="0" applyAlignment="0" applyProtection="0"/>
    <xf numFmtId="0" fontId="72" fillId="17" borderId="0" applyNumberFormat="0" applyBorder="0" applyAlignment="0" applyProtection="0"/>
    <xf numFmtId="0" fontId="73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0" borderId="0" applyNumberFormat="0" applyBorder="0" applyAlignment="0" applyProtection="0"/>
    <xf numFmtId="0" fontId="72" fillId="21" borderId="0" applyNumberFormat="0" applyBorder="0" applyAlignment="0" applyProtection="0"/>
    <xf numFmtId="0" fontId="73" fillId="21" borderId="0" applyNumberFormat="0" applyBorder="0" applyAlignment="0" applyProtection="0"/>
    <xf numFmtId="0" fontId="72" fillId="22" borderId="0" applyNumberFormat="0" applyBorder="0" applyAlignment="0" applyProtection="0"/>
    <xf numFmtId="0" fontId="73" fillId="22" borderId="0" applyNumberFormat="0" applyBorder="0" applyAlignment="0" applyProtection="0"/>
    <xf numFmtId="0" fontId="72" fillId="23" borderId="0" applyNumberFormat="0" applyBorder="0" applyAlignment="0" applyProtection="0"/>
    <xf numFmtId="0" fontId="73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6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29" borderId="0" applyNumberFormat="0" applyBorder="0" applyAlignment="0" applyProtection="0"/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71" fillId="31" borderId="8" applyNumberFormat="0" applyFont="0" applyAlignment="0" applyProtection="0"/>
    <xf numFmtId="9" fontId="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03" fillId="32" borderId="0" applyNumberFormat="0" applyBorder="0" applyAlignment="0" applyProtection="0"/>
    <xf numFmtId="0" fontId="104" fillId="32" borderId="0" applyNumberFormat="0" applyBorder="0" applyAlignment="0" applyProtection="0"/>
  </cellStyleXfs>
  <cellXfs count="88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7" fillId="0" borderId="14" xfId="0" applyFont="1" applyFill="1" applyBorder="1" applyAlignment="1">
      <alignment horizontal="center" vertical="distributed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18" xfId="0" applyFont="1" applyFill="1" applyBorder="1" applyAlignment="1">
      <alignment horizontal="center" vertical="distributed"/>
    </xf>
    <xf numFmtId="0" fontId="3" fillId="0" borderId="19" xfId="0" applyFont="1" applyFill="1" applyBorder="1" applyAlignment="1">
      <alignment horizontal="center" vertical="distributed"/>
    </xf>
    <xf numFmtId="0" fontId="0" fillId="0" borderId="0" xfId="0" applyAlignment="1">
      <alignment vertical="distributed"/>
    </xf>
    <xf numFmtId="0" fontId="3" fillId="0" borderId="0" xfId="0" applyFont="1" applyAlignment="1">
      <alignment vertical="distributed"/>
    </xf>
    <xf numFmtId="2" fontId="8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2" fontId="8" fillId="0" borderId="2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distributed"/>
    </xf>
    <xf numFmtId="49" fontId="0" fillId="0" borderId="0" xfId="0" applyNumberFormat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distributed"/>
    </xf>
    <xf numFmtId="0" fontId="6" fillId="0" borderId="0" xfId="0" applyFont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distributed"/>
    </xf>
    <xf numFmtId="0" fontId="3" fillId="0" borderId="23" xfId="0" applyFont="1" applyFill="1" applyBorder="1" applyAlignment="1">
      <alignment horizontal="center" vertical="distributed"/>
    </xf>
    <xf numFmtId="0" fontId="3" fillId="0" borderId="24" xfId="0" applyFont="1" applyFill="1" applyBorder="1" applyAlignment="1">
      <alignment horizontal="center" vertical="distributed"/>
    </xf>
    <xf numFmtId="49" fontId="4" fillId="0" borderId="25" xfId="90" applyNumberFormat="1" applyFont="1" applyFill="1" applyBorder="1" applyAlignment="1">
      <alignment horizontal="center" vertical="distributed" wrapText="1"/>
      <protection/>
    </xf>
    <xf numFmtId="0" fontId="3" fillId="0" borderId="26" xfId="0" applyFont="1" applyFill="1" applyBorder="1" applyAlignment="1">
      <alignment horizontal="center" vertical="distributed"/>
    </xf>
    <xf numFmtId="0" fontId="3" fillId="0" borderId="27" xfId="0" applyFont="1" applyFill="1" applyBorder="1" applyAlignment="1">
      <alignment horizontal="center" vertical="distributed"/>
    </xf>
    <xf numFmtId="0" fontId="0" fillId="0" borderId="15" xfId="0" applyFont="1" applyBorder="1" applyAlignment="1">
      <alignment horizontal="center" vertical="distributed"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 vertical="distributed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distributed"/>
    </xf>
    <xf numFmtId="2" fontId="3" fillId="0" borderId="28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49" fontId="10" fillId="33" borderId="30" xfId="0" applyNumberFormat="1" applyFont="1" applyFill="1" applyBorder="1" applyAlignment="1">
      <alignment horizontal="center" vertical="distributed" shrinkToFit="1"/>
    </xf>
    <xf numFmtId="0" fontId="3" fillId="0" borderId="30" xfId="0" applyFont="1" applyBorder="1" applyAlignment="1">
      <alignment horizontal="center" vertical="distributed"/>
    </xf>
    <xf numFmtId="0" fontId="3" fillId="0" borderId="31" xfId="0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distributed"/>
    </xf>
    <xf numFmtId="0" fontId="3" fillId="0" borderId="23" xfId="0" applyFont="1" applyFill="1" applyBorder="1" applyAlignment="1">
      <alignment horizontal="center" vertical="distributed"/>
    </xf>
    <xf numFmtId="0" fontId="3" fillId="0" borderId="24" xfId="0" applyFont="1" applyFill="1" applyBorder="1" applyAlignment="1">
      <alignment horizontal="center" vertical="distributed"/>
    </xf>
    <xf numFmtId="0" fontId="0" fillId="34" borderId="0" xfId="0" applyFill="1" applyAlignment="1">
      <alignment vertical="distributed"/>
    </xf>
    <xf numFmtId="0" fontId="0" fillId="34" borderId="0" xfId="0" applyFill="1" applyAlignment="1">
      <alignment/>
    </xf>
    <xf numFmtId="0" fontId="0" fillId="0" borderId="23" xfId="0" applyBorder="1" applyAlignment="1">
      <alignment/>
    </xf>
    <xf numFmtId="49" fontId="0" fillId="0" borderId="32" xfId="0" applyNumberFormat="1" applyFill="1" applyBorder="1" applyAlignment="1">
      <alignment horizontal="center" vertical="distributed"/>
    </xf>
    <xf numFmtId="0" fontId="0" fillId="0" borderId="33" xfId="0" applyFont="1" applyBorder="1" applyAlignment="1">
      <alignment horizontal="center" vertical="distributed"/>
    </xf>
    <xf numFmtId="0" fontId="0" fillId="0" borderId="34" xfId="0" applyFont="1" applyBorder="1" applyAlignment="1">
      <alignment horizontal="center" vertical="distributed"/>
    </xf>
    <xf numFmtId="0" fontId="0" fillId="0" borderId="32" xfId="0" applyFont="1" applyBorder="1" applyAlignment="1">
      <alignment horizontal="center" vertical="distributed"/>
    </xf>
    <xf numFmtId="0" fontId="0" fillId="0" borderId="35" xfId="0" applyFont="1" applyBorder="1" applyAlignment="1">
      <alignment horizontal="center" vertical="distributed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6" xfId="0" applyFont="1" applyBorder="1" applyAlignment="1">
      <alignment horizontal="center" vertical="distributed"/>
    </xf>
    <xf numFmtId="0" fontId="0" fillId="0" borderId="37" xfId="0" applyFont="1" applyBorder="1" applyAlignment="1">
      <alignment horizontal="center" vertical="distributed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 vertical="distributed"/>
    </xf>
    <xf numFmtId="2" fontId="8" fillId="0" borderId="39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 vertical="distributed"/>
    </xf>
    <xf numFmtId="0" fontId="0" fillId="0" borderId="32" xfId="0" applyFont="1" applyBorder="1" applyAlignment="1">
      <alignment horizontal="center" vertical="distributed"/>
    </xf>
    <xf numFmtId="0" fontId="3" fillId="0" borderId="27" xfId="0" applyFont="1" applyBorder="1" applyAlignment="1">
      <alignment horizontal="center" vertical="distributed"/>
    </xf>
    <xf numFmtId="0" fontId="0" fillId="0" borderId="10" xfId="0" applyFont="1" applyBorder="1" applyAlignment="1">
      <alignment horizontal="center" vertical="distributed"/>
    </xf>
    <xf numFmtId="2" fontId="8" fillId="0" borderId="27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distributed"/>
    </xf>
    <xf numFmtId="0" fontId="0" fillId="0" borderId="41" xfId="0" applyFont="1" applyBorder="1" applyAlignment="1">
      <alignment horizontal="center" vertical="distributed"/>
    </xf>
    <xf numFmtId="0" fontId="0" fillId="0" borderId="17" xfId="0" applyFont="1" applyBorder="1" applyAlignment="1">
      <alignment horizontal="center" vertical="distributed"/>
    </xf>
    <xf numFmtId="2" fontId="3" fillId="0" borderId="42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0" xfId="0" applyNumberFormat="1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 vertical="distributed"/>
    </xf>
    <xf numFmtId="0" fontId="15" fillId="34" borderId="0" xfId="0" applyFont="1" applyFill="1" applyAlignment="1">
      <alignment/>
    </xf>
    <xf numFmtId="0" fontId="3" fillId="0" borderId="23" xfId="0" applyFont="1" applyBorder="1" applyAlignment="1">
      <alignment horizontal="center" vertical="distributed"/>
    </xf>
    <xf numFmtId="0" fontId="0" fillId="0" borderId="43" xfId="0" applyFont="1" applyBorder="1" applyAlignment="1">
      <alignment horizontal="center" vertical="distributed"/>
    </xf>
    <xf numFmtId="2" fontId="0" fillId="0" borderId="44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distributed"/>
    </xf>
    <xf numFmtId="0" fontId="7" fillId="0" borderId="0" xfId="0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distributed"/>
    </xf>
    <xf numFmtId="0" fontId="0" fillId="0" borderId="0" xfId="0" applyFont="1" applyFill="1" applyBorder="1" applyAlignment="1">
      <alignment horizontal="center" vertical="distributed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45" xfId="0" applyBorder="1" applyAlignment="1">
      <alignment/>
    </xf>
    <xf numFmtId="0" fontId="0" fillId="0" borderId="0" xfId="0" applyBorder="1" applyAlignment="1">
      <alignment vertical="distributed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45" xfId="0" applyFont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distributed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0" fontId="0" fillId="0" borderId="45" xfId="0" applyBorder="1" applyAlignment="1">
      <alignment horizontal="left"/>
    </xf>
    <xf numFmtId="205" fontId="8" fillId="0" borderId="0" xfId="104" applyNumberFormat="1" applyFont="1" applyBorder="1" applyAlignment="1">
      <alignment horizontal="right"/>
    </xf>
    <xf numFmtId="197" fontId="8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 horizontal="center" vertical="distributed"/>
    </xf>
    <xf numFmtId="2" fontId="8" fillId="0" borderId="49" xfId="0" applyNumberFormat="1" applyFont="1" applyBorder="1" applyAlignment="1">
      <alignment horizontal="center"/>
    </xf>
    <xf numFmtId="2" fontId="8" fillId="0" borderId="50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2" fontId="17" fillId="0" borderId="0" xfId="0" applyNumberFormat="1" applyFont="1" applyBorder="1" applyAlignment="1">
      <alignment/>
    </xf>
    <xf numFmtId="197" fontId="17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2" fontId="19" fillId="0" borderId="0" xfId="0" applyNumberFormat="1" applyFont="1" applyBorder="1" applyAlignment="1">
      <alignment/>
    </xf>
    <xf numFmtId="197" fontId="1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10" fillId="33" borderId="0" xfId="0" applyNumberFormat="1" applyFont="1" applyFill="1" applyBorder="1" applyAlignment="1">
      <alignment horizontal="center" vertical="distributed" shrinkToFit="1"/>
    </xf>
    <xf numFmtId="1" fontId="3" fillId="0" borderId="0" xfId="0" applyNumberFormat="1" applyFont="1" applyFill="1" applyBorder="1" applyAlignment="1">
      <alignment horizontal="center"/>
    </xf>
    <xf numFmtId="197" fontId="17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/>
    </xf>
    <xf numFmtId="0" fontId="8" fillId="0" borderId="45" xfId="0" applyFont="1" applyBorder="1" applyAlignment="1">
      <alignment/>
    </xf>
    <xf numFmtId="0" fontId="0" fillId="33" borderId="0" xfId="0" applyFill="1" applyBorder="1" applyAlignment="1">
      <alignment/>
    </xf>
    <xf numFmtId="2" fontId="21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97" fontId="21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51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2" fontId="8" fillId="0" borderId="44" xfId="0" applyNumberFormat="1" applyFont="1" applyBorder="1" applyAlignment="1">
      <alignment/>
    </xf>
    <xf numFmtId="0" fontId="24" fillId="0" borderId="44" xfId="0" applyFont="1" applyBorder="1" applyAlignment="1">
      <alignment/>
    </xf>
    <xf numFmtId="0" fontId="9" fillId="0" borderId="44" xfId="0" applyFont="1" applyBorder="1" applyAlignment="1">
      <alignment/>
    </xf>
    <xf numFmtId="0" fontId="0" fillId="0" borderId="25" xfId="0" applyBorder="1" applyAlignment="1">
      <alignment/>
    </xf>
    <xf numFmtId="0" fontId="8" fillId="0" borderId="0" xfId="0" applyFont="1" applyFill="1" applyBorder="1" applyAlignment="1">
      <alignment horizontal="center" vertical="distributed"/>
    </xf>
    <xf numFmtId="2" fontId="3" fillId="0" borderId="0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 vertical="distributed"/>
    </xf>
    <xf numFmtId="0" fontId="0" fillId="0" borderId="40" xfId="0" applyFont="1" applyFill="1" applyBorder="1" applyAlignment="1">
      <alignment horizontal="center" vertical="distributed"/>
    </xf>
    <xf numFmtId="49" fontId="0" fillId="0" borderId="36" xfId="0" applyNumberFormat="1" applyFill="1" applyBorder="1" applyAlignment="1">
      <alignment horizontal="center" vertical="distributed"/>
    </xf>
    <xf numFmtId="0" fontId="0" fillId="0" borderId="0" xfId="0" applyFont="1" applyFill="1" applyAlignment="1">
      <alignment horizontal="center" vertical="distributed"/>
    </xf>
    <xf numFmtId="0" fontId="0" fillId="0" borderId="52" xfId="0" applyFont="1" applyFill="1" applyBorder="1" applyAlignment="1">
      <alignment horizontal="center" vertical="distributed"/>
    </xf>
    <xf numFmtId="0" fontId="0" fillId="0" borderId="0" xfId="0" applyFont="1" applyFill="1" applyAlignment="1">
      <alignment horizontal="center" vertical="distributed"/>
    </xf>
    <xf numFmtId="0" fontId="0" fillId="0" borderId="52" xfId="0" applyFont="1" applyFill="1" applyBorder="1" applyAlignment="1">
      <alignment horizontal="center" vertical="distributed"/>
    </xf>
    <xf numFmtId="0" fontId="0" fillId="0" borderId="53" xfId="0" applyFont="1" applyFill="1" applyBorder="1" applyAlignment="1">
      <alignment horizontal="center" vertical="distributed"/>
    </xf>
    <xf numFmtId="2" fontId="0" fillId="0" borderId="0" xfId="0" applyNumberFormat="1" applyBorder="1" applyAlignment="1">
      <alignment/>
    </xf>
    <xf numFmtId="0" fontId="0" fillId="0" borderId="48" xfId="0" applyFill="1" applyBorder="1" applyAlignment="1">
      <alignment horizontal="center" vertical="distributed"/>
    </xf>
    <xf numFmtId="2" fontId="3" fillId="0" borderId="29" xfId="0" applyNumberFormat="1" applyFont="1" applyFill="1" applyBorder="1" applyAlignment="1">
      <alignment horizontal="center" vertical="distributed"/>
    </xf>
    <xf numFmtId="0" fontId="0" fillId="0" borderId="12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7" xfId="0" applyFill="1" applyBorder="1" applyAlignment="1">
      <alignment/>
    </xf>
    <xf numFmtId="200" fontId="0" fillId="0" borderId="34" xfId="0" applyNumberFormat="1" applyFont="1" applyBorder="1" applyAlignment="1">
      <alignment horizontal="center" vertical="distributed"/>
    </xf>
    <xf numFmtId="200" fontId="0" fillId="0" borderId="32" xfId="0" applyNumberFormat="1" applyFont="1" applyBorder="1" applyAlignment="1">
      <alignment horizontal="center" vertical="distributed"/>
    </xf>
    <xf numFmtId="200" fontId="0" fillId="0" borderId="32" xfId="0" applyNumberFormat="1" applyFont="1" applyBorder="1" applyAlignment="1">
      <alignment horizontal="center" vertical="distributed"/>
    </xf>
    <xf numFmtId="0" fontId="0" fillId="0" borderId="16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196" fontId="5" fillId="0" borderId="40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1" fontId="8" fillId="0" borderId="40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8" fillId="33" borderId="28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Border="1" applyAlignment="1">
      <alignment horizontal="left"/>
    </xf>
    <xf numFmtId="197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3" fillId="0" borderId="49" xfId="0" applyFont="1" applyFill="1" applyBorder="1" applyAlignment="1">
      <alignment horizontal="center" vertical="distributed"/>
    </xf>
    <xf numFmtId="0" fontId="0" fillId="0" borderId="0" xfId="0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/>
    </xf>
    <xf numFmtId="197" fontId="21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2" fontId="8" fillId="0" borderId="43" xfId="0" applyNumberFormat="1" applyFont="1" applyBorder="1" applyAlignment="1">
      <alignment/>
    </xf>
    <xf numFmtId="2" fontId="19" fillId="0" borderId="43" xfId="0" applyNumberFormat="1" applyFont="1" applyBorder="1" applyAlignment="1">
      <alignment/>
    </xf>
    <xf numFmtId="2" fontId="19" fillId="0" borderId="44" xfId="0" applyNumberFormat="1" applyFont="1" applyBorder="1" applyAlignment="1">
      <alignment/>
    </xf>
    <xf numFmtId="197" fontId="19" fillId="0" borderId="44" xfId="0" applyNumberFormat="1" applyFont="1" applyBorder="1" applyAlignment="1">
      <alignment/>
    </xf>
    <xf numFmtId="1" fontId="8" fillId="0" borderId="27" xfId="0" applyNumberFormat="1" applyFont="1" applyBorder="1" applyAlignment="1">
      <alignment horizontal="center"/>
    </xf>
    <xf numFmtId="1" fontId="0" fillId="0" borderId="21" xfId="0" applyNumberFormat="1" applyBorder="1" applyAlignment="1">
      <alignment/>
    </xf>
    <xf numFmtId="1" fontId="8" fillId="0" borderId="22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0" fillId="34" borderId="0" xfId="0" applyNumberFormat="1" applyFill="1" applyAlignment="1">
      <alignment/>
    </xf>
    <xf numFmtId="1" fontId="0" fillId="0" borderId="55" xfId="0" applyNumberFormat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0" fillId="0" borderId="0" xfId="0" applyNumberFormat="1" applyFill="1" applyAlignment="1">
      <alignment/>
    </xf>
    <xf numFmtId="1" fontId="8" fillId="0" borderId="18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5" fillId="35" borderId="38" xfId="0" applyFont="1" applyFill="1" applyBorder="1" applyAlignment="1">
      <alignment horizontal="center"/>
    </xf>
    <xf numFmtId="1" fontId="26" fillId="35" borderId="28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vertical="distributed"/>
    </xf>
    <xf numFmtId="1" fontId="26" fillId="35" borderId="22" xfId="0" applyNumberFormat="1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197" fontId="19" fillId="0" borderId="0" xfId="0" applyNumberFormat="1" applyFont="1" applyBorder="1" applyAlignment="1">
      <alignment horizontal="center"/>
    </xf>
    <xf numFmtId="2" fontId="8" fillId="0" borderId="56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9" fillId="0" borderId="2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36" borderId="0" xfId="0" applyFont="1" applyFill="1" applyBorder="1" applyAlignment="1">
      <alignment horizontal="left"/>
    </xf>
    <xf numFmtId="0" fontId="3" fillId="0" borderId="57" xfId="0" applyFont="1" applyFill="1" applyBorder="1" applyAlignment="1">
      <alignment horizontal="center" vertical="distributed"/>
    </xf>
    <xf numFmtId="196" fontId="0" fillId="0" borderId="58" xfId="0" applyNumberFormat="1" applyFill="1" applyBorder="1" applyAlignment="1">
      <alignment horizontal="center"/>
    </xf>
    <xf numFmtId="196" fontId="0" fillId="0" borderId="11" xfId="0" applyNumberFormat="1" applyFill="1" applyBorder="1" applyAlignment="1">
      <alignment horizontal="center"/>
    </xf>
    <xf numFmtId="0" fontId="3" fillId="0" borderId="58" xfId="0" applyFont="1" applyFill="1" applyBorder="1" applyAlignment="1">
      <alignment horizontal="center" vertical="distributed"/>
    </xf>
    <xf numFmtId="196" fontId="0" fillId="0" borderId="52" xfId="0" applyNumberFormat="1" applyFill="1" applyBorder="1" applyAlignment="1">
      <alignment horizontal="center"/>
    </xf>
    <xf numFmtId="196" fontId="0" fillId="0" borderId="10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40" xfId="0" applyFont="1" applyFill="1" applyBorder="1" applyAlignment="1">
      <alignment horizontal="center" vertical="distributed"/>
    </xf>
    <xf numFmtId="0" fontId="0" fillId="0" borderId="40" xfId="0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2" fontId="8" fillId="0" borderId="46" xfId="0" applyNumberFormat="1" applyFont="1" applyBorder="1" applyAlignment="1">
      <alignment/>
    </xf>
    <xf numFmtId="2" fontId="8" fillId="0" borderId="46" xfId="0" applyNumberFormat="1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2" fontId="8" fillId="0" borderId="54" xfId="0" applyNumberFormat="1" applyFont="1" applyBorder="1" applyAlignment="1">
      <alignment/>
    </xf>
    <xf numFmtId="0" fontId="0" fillId="0" borderId="54" xfId="0" applyBorder="1" applyAlignment="1">
      <alignment/>
    </xf>
    <xf numFmtId="2" fontId="8" fillId="0" borderId="54" xfId="0" applyNumberFormat="1" applyFont="1" applyBorder="1" applyAlignment="1">
      <alignment horizontal="center"/>
    </xf>
    <xf numFmtId="0" fontId="1" fillId="0" borderId="54" xfId="0" applyFont="1" applyBorder="1" applyAlignment="1">
      <alignment horizontal="left"/>
    </xf>
    <xf numFmtId="197" fontId="8" fillId="0" borderId="47" xfId="0" applyNumberFormat="1" applyFont="1" applyBorder="1" applyAlignment="1">
      <alignment/>
    </xf>
    <xf numFmtId="0" fontId="1" fillId="0" borderId="47" xfId="0" applyFont="1" applyBorder="1" applyAlignment="1">
      <alignment horizontal="left"/>
    </xf>
    <xf numFmtId="197" fontId="8" fillId="0" borderId="47" xfId="0" applyNumberFormat="1" applyFont="1" applyBorder="1" applyAlignment="1">
      <alignment horizontal="center"/>
    </xf>
    <xf numFmtId="0" fontId="0" fillId="0" borderId="0" xfId="0" applyFill="1" applyAlignment="1">
      <alignment vertical="distributed"/>
    </xf>
    <xf numFmtId="2" fontId="8" fillId="0" borderId="46" xfId="0" applyNumberFormat="1" applyFont="1" applyFill="1" applyBorder="1" applyAlignment="1">
      <alignment/>
    </xf>
    <xf numFmtId="2" fontId="8" fillId="0" borderId="54" xfId="0" applyNumberFormat="1" applyFont="1" applyFill="1" applyBorder="1" applyAlignment="1">
      <alignment/>
    </xf>
    <xf numFmtId="197" fontId="8" fillId="0" borderId="47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2" fontId="8" fillId="0" borderId="22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34" borderId="44" xfId="0" applyFill="1" applyBorder="1" applyAlignment="1">
      <alignment/>
    </xf>
    <xf numFmtId="196" fontId="0" fillId="0" borderId="59" xfId="0" applyNumberFormat="1" applyFont="1" applyBorder="1" applyAlignment="1">
      <alignment horizontal="center" vertical="center"/>
    </xf>
    <xf numFmtId="196" fontId="0" fillId="0" borderId="60" xfId="0" applyNumberFormat="1" applyFont="1" applyBorder="1" applyAlignment="1">
      <alignment horizontal="center" vertical="center"/>
    </xf>
    <xf numFmtId="196" fontId="0" fillId="0" borderId="61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32" xfId="0" applyNumberFormat="1" applyFill="1" applyBorder="1" applyAlignment="1">
      <alignment horizontal="center" vertical="distributed"/>
    </xf>
    <xf numFmtId="200" fontId="0" fillId="0" borderId="32" xfId="0" applyNumberFormat="1" applyBorder="1" applyAlignment="1">
      <alignment/>
    </xf>
    <xf numFmtId="200" fontId="0" fillId="0" borderId="35" xfId="0" applyNumberForma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49" fontId="10" fillId="33" borderId="26" xfId="0" applyNumberFormat="1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 shrinkToFit="1"/>
    </xf>
    <xf numFmtId="49" fontId="10" fillId="33" borderId="30" xfId="0" applyNumberFormat="1" applyFont="1" applyFill="1" applyBorder="1" applyAlignment="1">
      <alignment horizontal="center" vertical="center" wrapText="1" shrinkToFit="1"/>
    </xf>
    <xf numFmtId="0" fontId="3" fillId="0" borderId="62" xfId="0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 shrinkToFit="1"/>
    </xf>
    <xf numFmtId="49" fontId="10" fillId="0" borderId="30" xfId="0" applyNumberFormat="1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 wrapText="1" shrinkToFit="1"/>
    </xf>
    <xf numFmtId="0" fontId="0" fillId="34" borderId="0" xfId="0" applyFill="1" applyBorder="1" applyAlignment="1">
      <alignment vertical="distributed"/>
    </xf>
    <xf numFmtId="0" fontId="3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3" fillId="0" borderId="0" xfId="0" applyFont="1" applyFill="1" applyAlignment="1">
      <alignment horizontal="left"/>
    </xf>
    <xf numFmtId="49" fontId="5" fillId="0" borderId="34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0" fillId="0" borderId="37" xfId="0" applyFill="1" applyBorder="1" applyAlignment="1">
      <alignment horizontal="center" vertical="distributed"/>
    </xf>
    <xf numFmtId="1" fontId="3" fillId="0" borderId="28" xfId="0" applyNumberFormat="1" applyFont="1" applyFill="1" applyBorder="1" applyAlignment="1">
      <alignment horizontal="center" vertical="distributed"/>
    </xf>
    <xf numFmtId="0" fontId="0" fillId="0" borderId="45" xfId="0" applyFill="1" applyBorder="1" applyAlignment="1">
      <alignment horizontal="center" vertical="distributed"/>
    </xf>
    <xf numFmtId="1" fontId="3" fillId="0" borderId="44" xfId="0" applyNumberFormat="1" applyFont="1" applyFill="1" applyBorder="1" applyAlignment="1">
      <alignment horizontal="center" vertical="distributed"/>
    </xf>
    <xf numFmtId="0" fontId="0" fillId="0" borderId="32" xfId="0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vertical="distributed"/>
    </xf>
    <xf numFmtId="0" fontId="3" fillId="0" borderId="26" xfId="0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3" fillId="34" borderId="63" xfId="0" applyFont="1" applyFill="1" applyBorder="1" applyAlignment="1">
      <alignment horizontal="center" vertical="center" wrapText="1"/>
    </xf>
    <xf numFmtId="49" fontId="4" fillId="0" borderId="25" xfId="91" applyNumberFormat="1" applyFont="1" applyFill="1" applyBorder="1" applyAlignment="1">
      <alignment horizontal="center" vertical="center" wrapText="1"/>
      <protection/>
    </xf>
    <xf numFmtId="49" fontId="4" fillId="0" borderId="25" xfId="91" applyNumberFormat="1" applyFont="1" applyFill="1" applyBorder="1" applyAlignment="1">
      <alignment horizontal="center" vertical="distributed" wrapText="1"/>
      <protection/>
    </xf>
    <xf numFmtId="0" fontId="3" fillId="0" borderId="57" xfId="0" applyFont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distributed"/>
    </xf>
    <xf numFmtId="0" fontId="0" fillId="0" borderId="36" xfId="0" applyNumberFormat="1" applyFill="1" applyBorder="1" applyAlignment="1">
      <alignment horizontal="center" vertical="distributed"/>
    </xf>
    <xf numFmtId="0" fontId="0" fillId="0" borderId="3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distributed"/>
    </xf>
    <xf numFmtId="0" fontId="0" fillId="0" borderId="34" xfId="0" applyFont="1" applyFill="1" applyBorder="1" applyAlignment="1">
      <alignment horizontal="center" vertical="distributed"/>
    </xf>
    <xf numFmtId="0" fontId="0" fillId="0" borderId="43" xfId="0" applyFont="1" applyFill="1" applyBorder="1" applyAlignment="1">
      <alignment horizontal="center" vertical="distributed"/>
    </xf>
    <xf numFmtId="0" fontId="0" fillId="0" borderId="38" xfId="0" applyFont="1" applyFill="1" applyBorder="1" applyAlignment="1">
      <alignment horizontal="center" vertical="distributed"/>
    </xf>
    <xf numFmtId="0" fontId="0" fillId="0" borderId="36" xfId="0" applyFont="1" applyFill="1" applyBorder="1" applyAlignment="1">
      <alignment horizontal="center" vertical="distributed"/>
    </xf>
    <xf numFmtId="0" fontId="0" fillId="0" borderId="37" xfId="0" applyFont="1" applyFill="1" applyBorder="1" applyAlignment="1">
      <alignment horizontal="center" vertical="distributed"/>
    </xf>
    <xf numFmtId="0" fontId="0" fillId="0" borderId="0" xfId="0" applyFont="1" applyFill="1" applyBorder="1" applyAlignment="1">
      <alignment horizontal="center" vertical="distributed"/>
    </xf>
    <xf numFmtId="196" fontId="0" fillId="0" borderId="58" xfId="0" applyNumberFormat="1" applyFont="1" applyFill="1" applyBorder="1" applyAlignment="1">
      <alignment horizontal="center" vertical="distributed"/>
    </xf>
    <xf numFmtId="196" fontId="0" fillId="0" borderId="11" xfId="0" applyNumberFormat="1" applyFont="1" applyFill="1" applyBorder="1" applyAlignment="1">
      <alignment horizontal="center" vertical="distributed"/>
    </xf>
    <xf numFmtId="196" fontId="0" fillId="0" borderId="46" xfId="0" applyNumberFormat="1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distributed"/>
    </xf>
    <xf numFmtId="0" fontId="0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distributed"/>
    </xf>
    <xf numFmtId="0" fontId="0" fillId="0" borderId="4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32" xfId="0" applyNumberFormat="1" applyFill="1" applyBorder="1" applyAlignment="1">
      <alignment horizontal="center" vertical="distributed"/>
    </xf>
    <xf numFmtId="196" fontId="0" fillId="0" borderId="15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 vertical="distributed"/>
    </xf>
    <xf numFmtId="196" fontId="0" fillId="0" borderId="52" xfId="0" applyNumberFormat="1" applyFont="1" applyFill="1" applyBorder="1" applyAlignment="1">
      <alignment horizontal="center" vertical="distributed"/>
    </xf>
    <xf numFmtId="0" fontId="0" fillId="0" borderId="53" xfId="0" applyFont="1" applyFill="1" applyBorder="1" applyAlignment="1">
      <alignment horizontal="center" vertical="distributed"/>
    </xf>
    <xf numFmtId="1" fontId="3" fillId="0" borderId="64" xfId="0" applyNumberFormat="1" applyFont="1" applyFill="1" applyBorder="1" applyAlignment="1">
      <alignment horizontal="center"/>
    </xf>
    <xf numFmtId="1" fontId="3" fillId="0" borderId="64" xfId="0" applyNumberFormat="1" applyFont="1" applyFill="1" applyBorder="1" applyAlignment="1">
      <alignment horizontal="center" vertical="distributed"/>
    </xf>
    <xf numFmtId="0" fontId="0" fillId="0" borderId="57" xfId="0" applyFont="1" applyFill="1" applyBorder="1" applyAlignment="1">
      <alignment horizontal="center"/>
    </xf>
    <xf numFmtId="196" fontId="0" fillId="0" borderId="19" xfId="0" applyNumberFormat="1" applyFont="1" applyFill="1" applyBorder="1" applyAlignment="1">
      <alignment horizontal="center"/>
    </xf>
    <xf numFmtId="49" fontId="28" fillId="0" borderId="0" xfId="91" applyNumberFormat="1" applyFont="1" applyFill="1" applyBorder="1" applyAlignment="1">
      <alignment horizontal="center" vertical="distributed" wrapText="1"/>
      <protection/>
    </xf>
    <xf numFmtId="2" fontId="7" fillId="0" borderId="0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65" xfId="0" applyNumberFormat="1" applyFont="1" applyFill="1" applyBorder="1" applyAlignment="1">
      <alignment horizontal="center"/>
    </xf>
    <xf numFmtId="0" fontId="0" fillId="0" borderId="66" xfId="0" applyBorder="1" applyAlignment="1">
      <alignment/>
    </xf>
    <xf numFmtId="0" fontId="0" fillId="0" borderId="17" xfId="0" applyFont="1" applyFill="1" applyBorder="1" applyAlignment="1">
      <alignment horizontal="center"/>
    </xf>
    <xf numFmtId="1" fontId="3" fillId="0" borderId="4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 vertical="distributed"/>
    </xf>
    <xf numFmtId="200" fontId="3" fillId="0" borderId="28" xfId="0" applyNumberFormat="1" applyFont="1" applyFill="1" applyBorder="1" applyAlignment="1">
      <alignment horizontal="center"/>
    </xf>
    <xf numFmtId="197" fontId="8" fillId="0" borderId="20" xfId="0" applyNumberFormat="1" applyFont="1" applyBorder="1" applyAlignment="1">
      <alignment horizontal="center"/>
    </xf>
    <xf numFmtId="200" fontId="3" fillId="0" borderId="0" xfId="0" applyNumberFormat="1" applyFont="1" applyFill="1" applyBorder="1" applyAlignment="1">
      <alignment horizontal="center"/>
    </xf>
    <xf numFmtId="0" fontId="0" fillId="0" borderId="14" xfId="89" applyBorder="1">
      <alignment/>
      <protection/>
    </xf>
    <xf numFmtId="0" fontId="0" fillId="34" borderId="0" xfId="89" applyFill="1">
      <alignment/>
      <protection/>
    </xf>
    <xf numFmtId="0" fontId="0" fillId="0" borderId="0" xfId="89" applyBorder="1">
      <alignment/>
      <protection/>
    </xf>
    <xf numFmtId="0" fontId="0" fillId="0" borderId="0" xfId="89">
      <alignment/>
      <protection/>
    </xf>
    <xf numFmtId="0" fontId="0" fillId="38" borderId="67" xfId="89" applyFill="1" applyBorder="1" applyAlignment="1">
      <alignment horizontal="center"/>
      <protection/>
    </xf>
    <xf numFmtId="0" fontId="0" fillId="39" borderId="44" xfId="89" applyFill="1" applyBorder="1" applyAlignment="1">
      <alignment horizontal="center"/>
      <protection/>
    </xf>
    <xf numFmtId="0" fontId="0" fillId="40" borderId="44" xfId="89" applyFill="1" applyBorder="1" applyAlignment="1">
      <alignment horizontal="center"/>
      <protection/>
    </xf>
    <xf numFmtId="0" fontId="0" fillId="40" borderId="0" xfId="89" applyFill="1" applyBorder="1">
      <alignment/>
      <protection/>
    </xf>
    <xf numFmtId="0" fontId="0" fillId="40" borderId="0" xfId="89" applyFill="1">
      <alignment/>
      <protection/>
    </xf>
    <xf numFmtId="0" fontId="0" fillId="0" borderId="21" xfId="89" applyBorder="1" applyAlignment="1">
      <alignment horizontal="center"/>
      <protection/>
    </xf>
    <xf numFmtId="0" fontId="0" fillId="0" borderId="12" xfId="89" applyBorder="1">
      <alignment/>
      <protection/>
    </xf>
    <xf numFmtId="0" fontId="0" fillId="0" borderId="22" xfId="89" applyBorder="1">
      <alignment/>
      <protection/>
    </xf>
    <xf numFmtId="0" fontId="0" fillId="0" borderId="21" xfId="89" applyFill="1" applyBorder="1" applyAlignment="1">
      <alignment horizontal="center"/>
      <protection/>
    </xf>
    <xf numFmtId="0" fontId="0" fillId="0" borderId="12" xfId="89" applyFill="1" applyBorder="1">
      <alignment/>
      <protection/>
    </xf>
    <xf numFmtId="0" fontId="0" fillId="0" borderId="22" xfId="89" applyFill="1" applyBorder="1">
      <alignment/>
      <protection/>
    </xf>
    <xf numFmtId="0" fontId="0" fillId="0" borderId="68" xfId="89" applyFill="1" applyBorder="1">
      <alignment/>
      <protection/>
    </xf>
    <xf numFmtId="0" fontId="0" fillId="0" borderId="14" xfId="89" applyFill="1" applyBorder="1">
      <alignment/>
      <protection/>
    </xf>
    <xf numFmtId="0" fontId="0" fillId="0" borderId="69" xfId="89" applyFill="1" applyBorder="1" applyAlignment="1">
      <alignment horizontal="center"/>
      <protection/>
    </xf>
    <xf numFmtId="0" fontId="0" fillId="41" borderId="0" xfId="89" applyFill="1" applyBorder="1">
      <alignment/>
      <protection/>
    </xf>
    <xf numFmtId="0" fontId="0" fillId="0" borderId="66" xfId="89" applyFill="1" applyBorder="1" applyAlignment="1">
      <alignment horizontal="center"/>
      <protection/>
    </xf>
    <xf numFmtId="0" fontId="0" fillId="0" borderId="70" xfId="89" applyFill="1" applyBorder="1">
      <alignment/>
      <protection/>
    </xf>
    <xf numFmtId="0" fontId="0" fillId="0" borderId="71" xfId="89" applyFill="1" applyBorder="1">
      <alignment/>
      <protection/>
    </xf>
    <xf numFmtId="0" fontId="0" fillId="0" borderId="56" xfId="89" applyFill="1" applyBorder="1">
      <alignment/>
      <protection/>
    </xf>
    <xf numFmtId="0" fontId="0" fillId="41" borderId="56" xfId="89" applyFill="1" applyBorder="1">
      <alignment/>
      <protection/>
    </xf>
    <xf numFmtId="0" fontId="0" fillId="41" borderId="49" xfId="89" applyFill="1" applyBorder="1">
      <alignment/>
      <protection/>
    </xf>
    <xf numFmtId="0" fontId="0" fillId="41" borderId="0" xfId="89" applyFill="1">
      <alignment/>
      <protection/>
    </xf>
    <xf numFmtId="0" fontId="0" fillId="0" borderId="72" xfId="89" applyFill="1" applyBorder="1">
      <alignment/>
      <protection/>
    </xf>
    <xf numFmtId="0" fontId="0" fillId="0" borderId="46" xfId="89" applyBorder="1" applyAlignment="1">
      <alignment horizontal="center"/>
      <protection/>
    </xf>
    <xf numFmtId="0" fontId="0" fillId="0" borderId="46" xfId="89" applyBorder="1">
      <alignment/>
      <protection/>
    </xf>
    <xf numFmtId="0" fontId="0" fillId="42" borderId="46" xfId="89" applyFill="1" applyBorder="1">
      <alignment/>
      <protection/>
    </xf>
    <xf numFmtId="0" fontId="0" fillId="0" borderId="73" xfId="89" applyBorder="1" applyAlignment="1">
      <alignment horizontal="center"/>
      <protection/>
    </xf>
    <xf numFmtId="0" fontId="0" fillId="42" borderId="37" xfId="89" applyFill="1" applyBorder="1">
      <alignment/>
      <protection/>
    </xf>
    <xf numFmtId="0" fontId="0" fillId="0" borderId="36" xfId="89" applyBorder="1" applyAlignment="1">
      <alignment horizontal="center"/>
      <protection/>
    </xf>
    <xf numFmtId="0" fontId="0" fillId="0" borderId="36" xfId="89" applyFill="1" applyBorder="1" applyAlignment="1">
      <alignment horizontal="center"/>
      <protection/>
    </xf>
    <xf numFmtId="0" fontId="0" fillId="0" borderId="46" xfId="89" applyFill="1" applyBorder="1">
      <alignment/>
      <protection/>
    </xf>
    <xf numFmtId="0" fontId="0" fillId="0" borderId="54" xfId="89" applyFill="1" applyBorder="1">
      <alignment/>
      <protection/>
    </xf>
    <xf numFmtId="0" fontId="0" fillId="42" borderId="28" xfId="89" applyFill="1" applyBorder="1">
      <alignment/>
      <protection/>
    </xf>
    <xf numFmtId="0" fontId="0" fillId="0" borderId="32" xfId="89" applyFill="1" applyBorder="1" applyAlignment="1">
      <alignment horizontal="center"/>
      <protection/>
    </xf>
    <xf numFmtId="0" fontId="0" fillId="0" borderId="46" xfId="89" applyFill="1" applyBorder="1" applyAlignment="1">
      <alignment horizontal="center"/>
      <protection/>
    </xf>
    <xf numFmtId="0" fontId="0" fillId="42" borderId="54" xfId="89" applyFill="1" applyBorder="1">
      <alignment/>
      <protection/>
    </xf>
    <xf numFmtId="200" fontId="0" fillId="41" borderId="0" xfId="89" applyNumberFormat="1" applyFill="1" applyBorder="1" applyAlignment="1">
      <alignment horizontal="right" vertical="distributed"/>
      <protection/>
    </xf>
    <xf numFmtId="200" fontId="0" fillId="0" borderId="54" xfId="89" applyNumberFormat="1" applyFill="1" applyBorder="1">
      <alignment/>
      <protection/>
    </xf>
    <xf numFmtId="200" fontId="0" fillId="41" borderId="0" xfId="89" applyNumberFormat="1" applyFill="1" applyAlignment="1">
      <alignment horizontal="right" vertical="distributed"/>
      <protection/>
    </xf>
    <xf numFmtId="0" fontId="0" fillId="0" borderId="54" xfId="89" applyFont="1" applyFill="1" applyBorder="1">
      <alignment/>
      <protection/>
    </xf>
    <xf numFmtId="200" fontId="0" fillId="0" borderId="54" xfId="89" applyNumberFormat="1" applyFont="1" applyFill="1" applyBorder="1">
      <alignment/>
      <protection/>
    </xf>
    <xf numFmtId="0" fontId="0" fillId="0" borderId="54" xfId="89" applyFill="1" applyBorder="1" applyAlignment="1">
      <alignment horizontal="right"/>
      <protection/>
    </xf>
    <xf numFmtId="200" fontId="0" fillId="0" borderId="54" xfId="89" applyNumberFormat="1" applyFill="1" applyBorder="1" applyAlignment="1">
      <alignment horizontal="right"/>
      <protection/>
    </xf>
    <xf numFmtId="0" fontId="0" fillId="0" borderId="47" xfId="89" applyFill="1" applyBorder="1">
      <alignment/>
      <protection/>
    </xf>
    <xf numFmtId="0" fontId="0" fillId="0" borderId="0" xfId="89" applyAlignment="1">
      <alignment horizontal="center"/>
      <protection/>
    </xf>
    <xf numFmtId="1" fontId="0" fillId="0" borderId="66" xfId="0" applyNumberFormat="1" applyBorder="1" applyAlignment="1">
      <alignment/>
    </xf>
    <xf numFmtId="49" fontId="5" fillId="0" borderId="32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8" fillId="0" borderId="42" xfId="0" applyNumberFormat="1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 vertical="distributed"/>
    </xf>
    <xf numFmtId="0" fontId="0" fillId="0" borderId="52" xfId="0" applyNumberFormat="1" applyFont="1" applyBorder="1" applyAlignment="1">
      <alignment horizontal="center" vertical="distributed"/>
    </xf>
    <xf numFmtId="0" fontId="0" fillId="0" borderId="52" xfId="0" applyNumberFormat="1" applyFont="1" applyBorder="1" applyAlignment="1">
      <alignment horizontal="center" vertical="distributed"/>
    </xf>
    <xf numFmtId="0" fontId="0" fillId="0" borderId="74" xfId="0" applyNumberFormat="1" applyFont="1" applyBorder="1" applyAlignment="1">
      <alignment horizontal="center" vertical="distributed"/>
    </xf>
    <xf numFmtId="1" fontId="0" fillId="0" borderId="75" xfId="0" applyNumberFormat="1" applyBorder="1" applyAlignment="1">
      <alignment/>
    </xf>
    <xf numFmtId="0" fontId="0" fillId="0" borderId="52" xfId="0" applyFont="1" applyBorder="1" applyAlignment="1">
      <alignment horizontal="center" vertical="distributed"/>
    </xf>
    <xf numFmtId="0" fontId="0" fillId="0" borderId="52" xfId="0" applyFont="1" applyBorder="1" applyAlignment="1">
      <alignment horizontal="center" vertical="distributed"/>
    </xf>
    <xf numFmtId="0" fontId="0" fillId="0" borderId="74" xfId="0" applyFont="1" applyBorder="1" applyAlignment="1">
      <alignment horizontal="center" vertical="distributed"/>
    </xf>
    <xf numFmtId="0" fontId="3" fillId="0" borderId="5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 shrinkToFit="1"/>
    </xf>
    <xf numFmtId="0" fontId="3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distributed"/>
    </xf>
    <xf numFmtId="0" fontId="3" fillId="0" borderId="73" xfId="0" applyFont="1" applyFill="1" applyBorder="1" applyAlignment="1">
      <alignment horizontal="center" vertical="distributed"/>
    </xf>
    <xf numFmtId="49" fontId="10" fillId="33" borderId="49" xfId="0" applyNumberFormat="1" applyFont="1" applyFill="1" applyBorder="1" applyAlignment="1">
      <alignment horizontal="center" vertical="center" wrapText="1" shrinkToFit="1"/>
    </xf>
    <xf numFmtId="196" fontId="0" fillId="0" borderId="77" xfId="0" applyNumberFormat="1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73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70" xfId="0" applyBorder="1" applyAlignment="1">
      <alignment horizontal="center" vertical="center" wrapText="1"/>
    </xf>
    <xf numFmtId="0" fontId="0" fillId="0" borderId="8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54" xfId="0" applyBorder="1" applyAlignment="1">
      <alignment horizontal="center" vertical="center" wrapText="1"/>
    </xf>
    <xf numFmtId="0" fontId="0" fillId="43" borderId="0" xfId="0" applyFill="1" applyAlignment="1">
      <alignment/>
    </xf>
    <xf numFmtId="0" fontId="0" fillId="43" borderId="0" xfId="0" applyFill="1" applyAlignment="1">
      <alignment vertical="distributed"/>
    </xf>
    <xf numFmtId="0" fontId="3" fillId="43" borderId="30" xfId="0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horizontal="center" vertical="center" wrapText="1"/>
    </xf>
    <xf numFmtId="1" fontId="0" fillId="43" borderId="11" xfId="0" applyNumberFormat="1" applyFont="1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196" fontId="0" fillId="43" borderId="10" xfId="0" applyNumberFormat="1" applyFill="1" applyBorder="1" applyAlignment="1">
      <alignment horizontal="center"/>
    </xf>
    <xf numFmtId="0" fontId="0" fillId="43" borderId="11" xfId="0" applyFont="1" applyFill="1" applyBorder="1" applyAlignment="1">
      <alignment horizontal="center"/>
    </xf>
    <xf numFmtId="1" fontId="0" fillId="43" borderId="15" xfId="0" applyNumberFormat="1" applyFont="1" applyFill="1" applyBorder="1" applyAlignment="1">
      <alignment horizontal="center"/>
    </xf>
    <xf numFmtId="0" fontId="3" fillId="43" borderId="15" xfId="0" applyFont="1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 horizontal="center"/>
    </xf>
    <xf numFmtId="0" fontId="8" fillId="43" borderId="12" xfId="0" applyFont="1" applyFill="1" applyBorder="1" applyAlignment="1">
      <alignment horizontal="center"/>
    </xf>
    <xf numFmtId="0" fontId="0" fillId="43" borderId="12" xfId="0" applyFill="1" applyBorder="1" applyAlignment="1">
      <alignment/>
    </xf>
    <xf numFmtId="2" fontId="8" fillId="43" borderId="46" xfId="0" applyNumberFormat="1" applyFont="1" applyFill="1" applyBorder="1" applyAlignment="1">
      <alignment horizontal="center"/>
    </xf>
    <xf numFmtId="0" fontId="0" fillId="43" borderId="46" xfId="0" applyFill="1" applyBorder="1" applyAlignment="1">
      <alignment/>
    </xf>
    <xf numFmtId="2" fontId="8" fillId="43" borderId="54" xfId="0" applyNumberFormat="1" applyFont="1" applyFill="1" applyBorder="1" applyAlignment="1">
      <alignment horizontal="center"/>
    </xf>
    <xf numFmtId="0" fontId="0" fillId="43" borderId="54" xfId="0" applyFill="1" applyBorder="1" applyAlignment="1">
      <alignment/>
    </xf>
    <xf numFmtId="197" fontId="8" fillId="43" borderId="47" xfId="0" applyNumberFormat="1" applyFont="1" applyFill="1" applyBorder="1" applyAlignment="1">
      <alignment horizontal="center"/>
    </xf>
    <xf numFmtId="0" fontId="0" fillId="43" borderId="47" xfId="0" applyFill="1" applyBorder="1" applyAlignment="1">
      <alignment/>
    </xf>
    <xf numFmtId="1" fontId="3" fillId="0" borderId="42" xfId="0" applyNumberFormat="1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horizontal="center" vertical="distributed"/>
    </xf>
    <xf numFmtId="1" fontId="0" fillId="0" borderId="32" xfId="0" applyNumberFormat="1" applyFill="1" applyBorder="1" applyAlignment="1">
      <alignment horizontal="center" vertical="distributed"/>
    </xf>
    <xf numFmtId="1" fontId="0" fillId="0" borderId="36" xfId="0" applyNumberFormat="1" applyFill="1" applyBorder="1" applyAlignment="1">
      <alignment horizontal="center" vertical="distributed"/>
    </xf>
    <xf numFmtId="196" fontId="0" fillId="0" borderId="40" xfId="0" applyNumberFormat="1" applyFont="1" applyFill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right" vertical="distributed"/>
    </xf>
    <xf numFmtId="2" fontId="8" fillId="0" borderId="24" xfId="0" applyNumberFormat="1" applyFont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vertical="distributed"/>
    </xf>
    <xf numFmtId="196" fontId="0" fillId="0" borderId="33" xfId="0" applyNumberForma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70" xfId="0" applyBorder="1" applyAlignment="1">
      <alignment/>
    </xf>
    <xf numFmtId="49" fontId="10" fillId="33" borderId="19" xfId="0" applyNumberFormat="1" applyFont="1" applyFill="1" applyBorder="1" applyAlignment="1">
      <alignment horizontal="center" vertical="distributed" shrinkToFit="1"/>
    </xf>
    <xf numFmtId="49" fontId="10" fillId="33" borderId="62" xfId="0" applyNumberFormat="1" applyFont="1" applyFill="1" applyBorder="1" applyAlignment="1">
      <alignment horizontal="center" vertical="distributed" shrinkToFit="1"/>
    </xf>
    <xf numFmtId="0" fontId="0" fillId="0" borderId="11" xfId="0" applyNumberFormat="1" applyFill="1" applyBorder="1" applyAlignment="1">
      <alignment horizontal="center" vertical="distributed"/>
    </xf>
    <xf numFmtId="0" fontId="0" fillId="0" borderId="43" xfId="0" applyFill="1" applyBorder="1" applyAlignment="1">
      <alignment horizontal="center"/>
    </xf>
    <xf numFmtId="0" fontId="0" fillId="0" borderId="17" xfId="0" applyFill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0" fillId="0" borderId="10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distributed"/>
    </xf>
    <xf numFmtId="0" fontId="3" fillId="0" borderId="3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196" fontId="3" fillId="0" borderId="42" xfId="0" applyNumberFormat="1" applyFont="1" applyFill="1" applyBorder="1" applyAlignment="1">
      <alignment horizontal="center" vertical="distributed"/>
    </xf>
    <xf numFmtId="2" fontId="0" fillId="0" borderId="0" xfId="0" applyNumberFormat="1" applyAlignment="1">
      <alignment/>
    </xf>
    <xf numFmtId="49" fontId="0" fillId="0" borderId="36" xfId="0" applyNumberFormat="1" applyFont="1" applyFill="1" applyBorder="1" applyAlignment="1">
      <alignment horizontal="center" vertical="distributed"/>
    </xf>
    <xf numFmtId="196" fontId="0" fillId="0" borderId="11" xfId="0" applyNumberFormat="1" applyFont="1" applyFill="1" applyBorder="1" applyAlignment="1">
      <alignment horizontal="center"/>
    </xf>
    <xf numFmtId="0" fontId="0" fillId="44" borderId="69" xfId="89" applyFill="1" applyBorder="1" applyAlignment="1">
      <alignment horizontal="center"/>
      <protection/>
    </xf>
    <xf numFmtId="0" fontId="3" fillId="44" borderId="68" xfId="89" applyFont="1" applyFill="1" applyBorder="1">
      <alignment/>
      <protection/>
    </xf>
    <xf numFmtId="0" fontId="0" fillId="44" borderId="68" xfId="89" applyFill="1" applyBorder="1" applyAlignment="1">
      <alignment horizontal="center"/>
      <protection/>
    </xf>
    <xf numFmtId="0" fontId="0" fillId="44" borderId="14" xfId="89" applyFill="1" applyBorder="1">
      <alignment/>
      <protection/>
    </xf>
    <xf numFmtId="0" fontId="0" fillId="44" borderId="81" xfId="89" applyFill="1" applyBorder="1" applyAlignment="1">
      <alignment horizontal="center"/>
      <protection/>
    </xf>
    <xf numFmtId="0" fontId="3" fillId="44" borderId="81" xfId="89" applyFont="1" applyFill="1" applyBorder="1">
      <alignment/>
      <protection/>
    </xf>
    <xf numFmtId="0" fontId="0" fillId="44" borderId="83" xfId="89" applyFill="1" applyBorder="1">
      <alignment/>
      <protection/>
    </xf>
    <xf numFmtId="0" fontId="0" fillId="44" borderId="0" xfId="89" applyFill="1" applyBorder="1">
      <alignment/>
      <protection/>
    </xf>
    <xf numFmtId="0" fontId="0" fillId="44" borderId="0" xfId="89" applyFill="1">
      <alignment/>
      <protection/>
    </xf>
    <xf numFmtId="0" fontId="0" fillId="44" borderId="67" xfId="89" applyFill="1" applyBorder="1">
      <alignment/>
      <protection/>
    </xf>
    <xf numFmtId="0" fontId="0" fillId="44" borderId="81" xfId="89" applyFill="1" applyBorder="1">
      <alignment/>
      <protection/>
    </xf>
    <xf numFmtId="0" fontId="0" fillId="44" borderId="84" xfId="89" applyFill="1" applyBorder="1" applyAlignment="1">
      <alignment horizontal="center"/>
      <protection/>
    </xf>
    <xf numFmtId="0" fontId="0" fillId="0" borderId="0" xfId="88">
      <alignment/>
      <protection/>
    </xf>
    <xf numFmtId="0" fontId="7" fillId="0" borderId="18" xfId="88" applyFont="1" applyFill="1" applyBorder="1" applyAlignment="1">
      <alignment horizontal="center" vertical="distributed"/>
      <protection/>
    </xf>
    <xf numFmtId="0" fontId="7" fillId="0" borderId="39" xfId="88" applyFont="1" applyFill="1" applyBorder="1" applyAlignment="1">
      <alignment horizontal="center" vertical="distributed"/>
      <protection/>
    </xf>
    <xf numFmtId="0" fontId="7" fillId="0" borderId="26" xfId="88" applyFont="1" applyFill="1" applyBorder="1" applyAlignment="1">
      <alignment horizontal="center" vertical="distributed"/>
      <protection/>
    </xf>
    <xf numFmtId="0" fontId="7" fillId="43" borderId="26" xfId="88" applyFont="1" applyFill="1" applyBorder="1" applyAlignment="1">
      <alignment horizontal="center" vertical="distributed"/>
      <protection/>
    </xf>
    <xf numFmtId="0" fontId="0" fillId="0" borderId="18" xfId="88" applyFont="1" applyFill="1" applyBorder="1" applyAlignment="1">
      <alignment horizontal="center" vertical="distributed"/>
      <protection/>
    </xf>
    <xf numFmtId="0" fontId="3" fillId="0" borderId="18" xfId="88" applyFont="1" applyFill="1" applyBorder="1" applyAlignment="1">
      <alignment horizontal="center" vertical="distributed"/>
      <protection/>
    </xf>
    <xf numFmtId="0" fontId="3" fillId="43" borderId="18" xfId="88" applyFont="1" applyFill="1" applyBorder="1" applyAlignment="1">
      <alignment horizontal="center" vertical="distributed"/>
      <protection/>
    </xf>
    <xf numFmtId="0" fontId="3" fillId="0" borderId="18" xfId="88" applyFont="1" applyFill="1" applyBorder="1" applyAlignment="1">
      <alignment horizontal="center" vertical="center" wrapText="1"/>
      <protection/>
    </xf>
    <xf numFmtId="0" fontId="3" fillId="43" borderId="18" xfId="88" applyFont="1" applyFill="1" applyBorder="1" applyAlignment="1">
      <alignment horizontal="center" vertical="center" wrapText="1"/>
      <protection/>
    </xf>
    <xf numFmtId="0" fontId="0" fillId="0" borderId="40" xfId="88" applyFont="1" applyFill="1" applyBorder="1" applyAlignment="1">
      <alignment horizontal="center" vertical="distributed"/>
      <protection/>
    </xf>
    <xf numFmtId="0" fontId="0" fillId="0" borderId="37" xfId="88" applyFont="1" applyFill="1" applyBorder="1" applyAlignment="1">
      <alignment horizontal="center" vertical="distributed"/>
      <protection/>
    </xf>
    <xf numFmtId="0" fontId="0" fillId="0" borderId="72" xfId="88" applyFont="1" applyFill="1" applyBorder="1" applyAlignment="1">
      <alignment horizontal="center" vertical="distributed"/>
      <protection/>
    </xf>
    <xf numFmtId="0" fontId="0" fillId="0" borderId="11" xfId="88" applyFont="1" applyFill="1" applyBorder="1" applyAlignment="1">
      <alignment horizontal="center" vertical="distributed"/>
      <protection/>
    </xf>
    <xf numFmtId="0" fontId="0" fillId="0" borderId="15" xfId="88" applyFont="1" applyFill="1" applyBorder="1" applyAlignment="1">
      <alignment horizontal="center" vertical="distributed"/>
      <protection/>
    </xf>
    <xf numFmtId="0" fontId="0" fillId="43" borderId="15" xfId="88" applyFont="1" applyFill="1" applyBorder="1" applyAlignment="1">
      <alignment horizontal="center" vertical="distributed"/>
      <protection/>
    </xf>
    <xf numFmtId="0" fontId="0" fillId="0" borderId="52" xfId="88" applyFont="1" applyFill="1" applyBorder="1" applyAlignment="1">
      <alignment horizontal="center" vertical="distributed"/>
      <protection/>
    </xf>
    <xf numFmtId="4" fontId="3" fillId="0" borderId="28" xfId="88" applyNumberFormat="1" applyFont="1" applyFill="1" applyBorder="1" applyAlignment="1">
      <alignment horizontal="center"/>
      <protection/>
    </xf>
    <xf numFmtId="4" fontId="3" fillId="0" borderId="54" xfId="88" applyNumberFormat="1" applyFont="1" applyFill="1" applyBorder="1" applyAlignment="1">
      <alignment horizontal="center"/>
      <protection/>
    </xf>
    <xf numFmtId="4" fontId="3" fillId="0" borderId="10" xfId="88" applyNumberFormat="1" applyFont="1" applyFill="1" applyBorder="1" applyAlignment="1">
      <alignment horizontal="center"/>
      <protection/>
    </xf>
    <xf numFmtId="4" fontId="3" fillId="43" borderId="10" xfId="88" applyNumberFormat="1" applyFont="1" applyFill="1" applyBorder="1" applyAlignment="1">
      <alignment horizontal="center"/>
      <protection/>
    </xf>
    <xf numFmtId="0" fontId="0" fillId="0" borderId="53" xfId="88" applyFont="1" applyFill="1" applyBorder="1" applyAlignment="1">
      <alignment horizontal="center" vertical="distributed"/>
      <protection/>
    </xf>
    <xf numFmtId="0" fontId="9" fillId="0" borderId="0" xfId="88" applyFont="1" applyBorder="1" applyAlignment="1">
      <alignment horizontal="center"/>
      <protection/>
    </xf>
    <xf numFmtId="2" fontId="8" fillId="0" borderId="0" xfId="88" applyNumberFormat="1" applyFont="1" applyBorder="1" applyAlignment="1">
      <alignment horizontal="center"/>
      <protection/>
    </xf>
    <xf numFmtId="0" fontId="7" fillId="0" borderId="0" xfId="88" applyFont="1" applyFill="1" applyBorder="1" applyAlignment="1">
      <alignment horizontal="center" vertical="distributed"/>
      <protection/>
    </xf>
    <xf numFmtId="0" fontId="0" fillId="0" borderId="0" xfId="88" applyAlignment="1">
      <alignment vertical="distributed"/>
      <protection/>
    </xf>
    <xf numFmtId="0" fontId="0" fillId="0" borderId="0" xfId="88" applyBorder="1">
      <alignment/>
      <protection/>
    </xf>
    <xf numFmtId="0" fontId="0" fillId="0" borderId="0" xfId="88" applyBorder="1" applyAlignment="1">
      <alignment vertical="distributed"/>
      <protection/>
    </xf>
    <xf numFmtId="0" fontId="0" fillId="0" borderId="45" xfId="88" applyBorder="1">
      <alignment/>
      <protection/>
    </xf>
    <xf numFmtId="0" fontId="3" fillId="0" borderId="0" xfId="88" applyFont="1" applyAlignment="1">
      <alignment/>
      <protection/>
    </xf>
    <xf numFmtId="0" fontId="3" fillId="0" borderId="0" xfId="88" applyFont="1" applyFill="1" applyAlignment="1">
      <alignment horizontal="left"/>
      <protection/>
    </xf>
    <xf numFmtId="0" fontId="0" fillId="0" borderId="0" xfId="88" applyFill="1">
      <alignment/>
      <protection/>
    </xf>
    <xf numFmtId="0" fontId="3" fillId="0" borderId="21" xfId="0" applyFont="1" applyBorder="1" applyAlignment="1">
      <alignment horizontal="center" vertical="distributed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distributed"/>
    </xf>
    <xf numFmtId="2" fontId="0" fillId="0" borderId="0" xfId="0" applyNumberFormat="1" applyFont="1" applyAlignment="1">
      <alignment vertical="distributed"/>
    </xf>
    <xf numFmtId="200" fontId="0" fillId="0" borderId="0" xfId="0" applyNumberFormat="1" applyAlignment="1">
      <alignment/>
    </xf>
    <xf numFmtId="2" fontId="3" fillId="0" borderId="64" xfId="0" applyNumberFormat="1" applyFont="1" applyFill="1" applyBorder="1" applyAlignment="1">
      <alignment horizontal="center"/>
    </xf>
    <xf numFmtId="0" fontId="0" fillId="0" borderId="76" xfId="0" applyFont="1" applyBorder="1" applyAlignment="1">
      <alignment horizontal="center" vertical="distributed"/>
    </xf>
    <xf numFmtId="0" fontId="0" fillId="0" borderId="78" xfId="0" applyFont="1" applyBorder="1" applyAlignment="1">
      <alignment horizontal="center" vertical="distributed"/>
    </xf>
    <xf numFmtId="0" fontId="0" fillId="0" borderId="78" xfId="0" applyFont="1" applyBorder="1" applyAlignment="1">
      <alignment horizontal="center" vertical="distributed"/>
    </xf>
    <xf numFmtId="2" fontId="8" fillId="0" borderId="26" xfId="0" applyNumberFormat="1" applyFont="1" applyBorder="1" applyAlignment="1">
      <alignment horizontal="center"/>
    </xf>
    <xf numFmtId="4" fontId="3" fillId="0" borderId="33" xfId="88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1" fontId="26" fillId="35" borderId="1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distributed"/>
    </xf>
    <xf numFmtId="1" fontId="0" fillId="0" borderId="0" xfId="0" applyNumberFormat="1" applyFont="1" applyFill="1" applyBorder="1" applyAlignment="1">
      <alignment horizontal="center" vertical="distributed"/>
    </xf>
    <xf numFmtId="197" fontId="9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right"/>
    </xf>
    <xf numFmtId="49" fontId="4" fillId="0" borderId="25" xfId="90" applyNumberFormat="1" applyFont="1" applyFill="1" applyBorder="1" applyAlignment="1">
      <alignment horizontal="center" vertical="center" wrapText="1"/>
      <protection/>
    </xf>
    <xf numFmtId="1" fontId="0" fillId="0" borderId="15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distributed"/>
    </xf>
    <xf numFmtId="49" fontId="31" fillId="0" borderId="30" xfId="90" applyNumberFormat="1" applyFont="1" applyFill="1" applyBorder="1" applyAlignment="1">
      <alignment horizontal="center" vertical="center" wrapText="1"/>
      <protection/>
    </xf>
    <xf numFmtId="49" fontId="31" fillId="33" borderId="82" xfId="0" applyNumberFormat="1" applyFont="1" applyFill="1" applyBorder="1" applyAlignment="1">
      <alignment horizontal="center" vertical="center" wrapText="1" shrinkToFit="1"/>
    </xf>
    <xf numFmtId="49" fontId="31" fillId="0" borderId="82" xfId="90" applyNumberFormat="1" applyFont="1" applyFill="1" applyBorder="1" applyAlignment="1">
      <alignment horizontal="center" vertical="center" wrapText="1"/>
      <protection/>
    </xf>
    <xf numFmtId="1" fontId="8" fillId="0" borderId="37" xfId="0" applyNumberFormat="1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49" fontId="10" fillId="0" borderId="26" xfId="90" applyNumberFormat="1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1" fillId="0" borderId="45" xfId="0" applyFont="1" applyBorder="1" applyAlignment="1">
      <alignment horizontal="right"/>
    </xf>
    <xf numFmtId="2" fontId="5" fillId="0" borderId="34" xfId="0" applyNumberFormat="1" applyFont="1" applyFill="1" applyBorder="1" applyAlignment="1">
      <alignment horizontal="center"/>
    </xf>
    <xf numFmtId="2" fontId="5" fillId="0" borderId="66" xfId="0" applyNumberFormat="1" applyFont="1" applyFill="1" applyBorder="1" applyAlignment="1">
      <alignment horizontal="center"/>
    </xf>
    <xf numFmtId="197" fontId="8" fillId="0" borderId="0" xfId="0" applyNumberFormat="1" applyFont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45" borderId="32" xfId="0" applyNumberFormat="1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1" fontId="0" fillId="0" borderId="85" xfId="0" applyNumberFormat="1" applyFont="1" applyFill="1" applyBorder="1" applyAlignment="1">
      <alignment horizontal="center"/>
    </xf>
    <xf numFmtId="1" fontId="0" fillId="45" borderId="51" xfId="0" applyNumberFormat="1" applyFont="1" applyFill="1" applyBorder="1" applyAlignment="1">
      <alignment horizontal="center"/>
    </xf>
    <xf numFmtId="1" fontId="0" fillId="0" borderId="5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97" fontId="5" fillId="0" borderId="34" xfId="0" applyNumberFormat="1" applyFont="1" applyFill="1" applyBorder="1" applyAlignment="1">
      <alignment horizontal="center"/>
    </xf>
    <xf numFmtId="197" fontId="5" fillId="0" borderId="36" xfId="0" applyNumberFormat="1" applyFont="1" applyFill="1" applyBorder="1" applyAlignment="1">
      <alignment horizontal="center"/>
    </xf>
    <xf numFmtId="197" fontId="5" fillId="0" borderId="32" xfId="0" applyNumberFormat="1" applyFont="1" applyFill="1" applyBorder="1" applyAlignment="1">
      <alignment horizontal="center"/>
    </xf>
    <xf numFmtId="197" fontId="5" fillId="0" borderId="35" xfId="0" applyNumberFormat="1" applyFont="1" applyFill="1" applyBorder="1" applyAlignment="1">
      <alignment horizontal="center"/>
    </xf>
    <xf numFmtId="197" fontId="5" fillId="0" borderId="66" xfId="0" applyNumberFormat="1" applyFont="1" applyFill="1" applyBorder="1" applyAlignment="1">
      <alignment horizontal="center"/>
    </xf>
    <xf numFmtId="2" fontId="5" fillId="0" borderId="40" xfId="0" applyNumberFormat="1" applyFont="1" applyFill="1" applyBorder="1" applyAlignment="1">
      <alignment horizontal="center"/>
    </xf>
    <xf numFmtId="49" fontId="10" fillId="0" borderId="0" xfId="90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2" fontId="5" fillId="45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7" fontId="0" fillId="0" borderId="0" xfId="0" applyNumberFormat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97" fontId="19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2" fontId="5" fillId="0" borderId="32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5" xfId="0" applyNumberFormat="1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105" fillId="0" borderId="0" xfId="0" applyNumberFormat="1" applyFont="1" applyBorder="1" applyAlignment="1">
      <alignment/>
    </xf>
    <xf numFmtId="0" fontId="105" fillId="0" borderId="0" xfId="0" applyFont="1" applyBorder="1" applyAlignment="1">
      <alignment/>
    </xf>
    <xf numFmtId="0" fontId="0" fillId="0" borderId="63" xfId="89" applyFill="1" applyBorder="1">
      <alignment/>
      <protection/>
    </xf>
    <xf numFmtId="200" fontId="0" fillId="41" borderId="49" xfId="89" applyNumberFormat="1" applyFill="1" applyBorder="1" applyAlignment="1">
      <alignment horizontal="right" vertical="distributed"/>
      <protection/>
    </xf>
    <xf numFmtId="200" fontId="0" fillId="0" borderId="47" xfId="89" applyNumberFormat="1" applyFill="1" applyBorder="1">
      <alignment/>
      <protection/>
    </xf>
    <xf numFmtId="200" fontId="0" fillId="41" borderId="56" xfId="89" applyNumberFormat="1" applyFill="1" applyBorder="1" applyAlignment="1">
      <alignment horizontal="right" vertical="distributed"/>
      <protection/>
    </xf>
    <xf numFmtId="200" fontId="0" fillId="0" borderId="0" xfId="89" applyNumberFormat="1">
      <alignment/>
      <protection/>
    </xf>
    <xf numFmtId="197" fontId="0" fillId="0" borderId="54" xfId="89" applyNumberFormat="1" applyFill="1" applyBorder="1">
      <alignment/>
      <protection/>
    </xf>
    <xf numFmtId="197" fontId="0" fillId="0" borderId="47" xfId="89" applyNumberFormat="1" applyFill="1" applyBorder="1">
      <alignment/>
      <protection/>
    </xf>
    <xf numFmtId="197" fontId="0" fillId="0" borderId="54" xfId="89" applyNumberFormat="1" applyFont="1" applyFill="1" applyBorder="1">
      <alignment/>
      <protection/>
    </xf>
    <xf numFmtId="197" fontId="0" fillId="0" borderId="54" xfId="89" applyNumberFormat="1" applyFill="1" applyBorder="1" applyAlignment="1">
      <alignment horizontal="right"/>
      <protection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197" fontId="5" fillId="0" borderId="40" xfId="0" applyNumberFormat="1" applyFont="1" applyFill="1" applyBorder="1" applyAlignment="1">
      <alignment horizontal="center"/>
    </xf>
    <xf numFmtId="0" fontId="0" fillId="0" borderId="54" xfId="0" applyBorder="1" applyAlignment="1">
      <alignment wrapText="1"/>
    </xf>
    <xf numFmtId="0" fontId="0" fillId="0" borderId="54" xfId="0" applyFont="1" applyBorder="1" applyAlignment="1">
      <alignment wrapText="1"/>
    </xf>
    <xf numFmtId="0" fontId="3" fillId="0" borderId="27" xfId="0" applyFont="1" applyBorder="1" applyAlignment="1">
      <alignment vertical="center" wrapText="1"/>
    </xf>
    <xf numFmtId="2" fontId="0" fillId="0" borderId="52" xfId="0" applyNumberFormat="1" applyFont="1" applyFill="1" applyBorder="1" applyAlignment="1">
      <alignment horizontal="center"/>
    </xf>
    <xf numFmtId="0" fontId="1" fillId="0" borderId="26" xfId="88" applyFont="1" applyFill="1" applyBorder="1" applyAlignment="1">
      <alignment horizontal="center" vertical="center" wrapText="1"/>
      <protection/>
    </xf>
    <xf numFmtId="4" fontId="8" fillId="0" borderId="20" xfId="88" applyNumberFormat="1" applyFont="1" applyFill="1" applyBorder="1" applyAlignment="1">
      <alignment horizontal="center" vertical="center"/>
      <protection/>
    </xf>
    <xf numFmtId="4" fontId="8" fillId="0" borderId="22" xfId="88" applyNumberFormat="1" applyFont="1" applyFill="1" applyBorder="1" applyAlignment="1">
      <alignment horizontal="center" vertical="center"/>
      <protection/>
    </xf>
    <xf numFmtId="4" fontId="8" fillId="0" borderId="18" xfId="88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2" fontId="8" fillId="0" borderId="0" xfId="88" applyNumberFormat="1" applyFont="1" applyBorder="1" applyAlignment="1">
      <alignment horizontal="right"/>
      <protection/>
    </xf>
    <xf numFmtId="0" fontId="9" fillId="0" borderId="0" xfId="88" applyFont="1" applyBorder="1" applyAlignment="1">
      <alignment horizontal="right"/>
      <protection/>
    </xf>
    <xf numFmtId="197" fontId="8" fillId="0" borderId="0" xfId="88" applyNumberFormat="1" applyFont="1" applyBorder="1" applyAlignment="1">
      <alignment horizontal="center"/>
      <protection/>
    </xf>
    <xf numFmtId="0" fontId="20" fillId="0" borderId="0" xfId="0" applyFont="1" applyAlignment="1">
      <alignment vertical="center"/>
    </xf>
    <xf numFmtId="0" fontId="3" fillId="43" borderId="22" xfId="0" applyFont="1" applyFill="1" applyBorder="1" applyAlignment="1">
      <alignment horizontal="center" vertical="center" wrapText="1"/>
    </xf>
    <xf numFmtId="3" fontId="0" fillId="0" borderId="54" xfId="0" applyNumberFormat="1" applyBorder="1" applyAlignment="1">
      <alignment horizontal="center" vertical="center"/>
    </xf>
    <xf numFmtId="0" fontId="0" fillId="0" borderId="58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/>
    </xf>
    <xf numFmtId="1" fontId="0" fillId="0" borderId="74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0" fontId="3" fillId="0" borderId="45" xfId="0" applyFont="1" applyBorder="1" applyAlignment="1">
      <alignment/>
    </xf>
    <xf numFmtId="0" fontId="3" fillId="44" borderId="26" xfId="0" applyFont="1" applyFill="1" applyBorder="1" applyAlignment="1">
      <alignment horizontal="center" vertical="center" wrapText="1"/>
    </xf>
    <xf numFmtId="197" fontId="5" fillId="46" borderId="40" xfId="0" applyNumberFormat="1" applyFont="1" applyFill="1" applyBorder="1" applyAlignment="1">
      <alignment horizontal="center"/>
    </xf>
    <xf numFmtId="220" fontId="8" fillId="0" borderId="20" xfId="88" applyNumberFormat="1" applyFont="1" applyFill="1" applyBorder="1" applyAlignment="1">
      <alignment horizontal="center" vertical="center"/>
      <protection/>
    </xf>
    <xf numFmtId="220" fontId="8" fillId="0" borderId="22" xfId="88" applyNumberFormat="1" applyFont="1" applyFill="1" applyBorder="1" applyAlignment="1">
      <alignment horizontal="center" vertical="center"/>
      <protection/>
    </xf>
    <xf numFmtId="220" fontId="8" fillId="0" borderId="18" xfId="88" applyNumberFormat="1" applyFont="1" applyFill="1" applyBorder="1" applyAlignment="1">
      <alignment horizontal="center" vertical="center"/>
      <protection/>
    </xf>
    <xf numFmtId="220" fontId="8" fillId="43" borderId="18" xfId="88" applyNumberFormat="1" applyFont="1" applyFill="1" applyBorder="1" applyAlignment="1">
      <alignment horizontal="center" vertical="center"/>
      <protection/>
    </xf>
    <xf numFmtId="0" fontId="3" fillId="44" borderId="1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/>
    </xf>
    <xf numFmtId="0" fontId="8" fillId="44" borderId="0" xfId="0" applyFont="1" applyFill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43" borderId="26" xfId="0" applyFont="1" applyFill="1" applyBorder="1" applyAlignment="1">
      <alignment horizontal="center" vertical="center" wrapText="1"/>
    </xf>
    <xf numFmtId="0" fontId="3" fillId="43" borderId="27" xfId="0" applyFont="1" applyFill="1" applyBorder="1" applyAlignment="1">
      <alignment horizontal="center" vertical="center" wrapText="1"/>
    </xf>
    <xf numFmtId="0" fontId="7" fillId="44" borderId="0" xfId="0" applyFont="1" applyFill="1" applyBorder="1" applyAlignment="1">
      <alignment horizontal="center" vertical="distributed"/>
    </xf>
    <xf numFmtId="0" fontId="7" fillId="0" borderId="26" xfId="0" applyFont="1" applyFill="1" applyBorder="1" applyAlignment="1">
      <alignment horizontal="center" vertical="distributed"/>
    </xf>
    <xf numFmtId="0" fontId="7" fillId="0" borderId="27" xfId="0" applyFont="1" applyFill="1" applyBorder="1" applyAlignment="1">
      <alignment horizontal="center" vertical="distributed"/>
    </xf>
    <xf numFmtId="0" fontId="7" fillId="0" borderId="25" xfId="0" applyFont="1" applyFill="1" applyBorder="1" applyAlignment="1">
      <alignment horizontal="center" vertical="distributed"/>
    </xf>
    <xf numFmtId="0" fontId="7" fillId="0" borderId="77" xfId="0" applyFont="1" applyFill="1" applyBorder="1" applyAlignment="1">
      <alignment horizontal="center" vertical="distributed"/>
    </xf>
    <xf numFmtId="0" fontId="0" fillId="0" borderId="0" xfId="0" applyFill="1" applyBorder="1" applyAlignment="1">
      <alignment horizontal="center"/>
    </xf>
    <xf numFmtId="0" fontId="20" fillId="44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distributed"/>
    </xf>
    <xf numFmtId="0" fontId="0" fillId="0" borderId="39" xfId="0" applyBorder="1" applyAlignment="1">
      <alignment horizontal="center"/>
    </xf>
    <xf numFmtId="0" fontId="0" fillId="0" borderId="0" xfId="0" applyFill="1" applyBorder="1" applyAlignment="1">
      <alignment horizontal="center" vertical="distributed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62" xfId="0" applyFill="1" applyBorder="1" applyAlignment="1">
      <alignment horizontal="center" vertical="distributed"/>
    </xf>
    <xf numFmtId="0" fontId="0" fillId="0" borderId="19" xfId="0" applyFill="1" applyBorder="1" applyAlignment="1">
      <alignment horizontal="center" vertical="distributed"/>
    </xf>
    <xf numFmtId="0" fontId="0" fillId="0" borderId="30" xfId="0" applyFill="1" applyBorder="1" applyAlignment="1">
      <alignment horizontal="center" vertical="distributed"/>
    </xf>
    <xf numFmtId="0" fontId="8" fillId="0" borderId="26" xfId="0" applyFont="1" applyFill="1" applyBorder="1" applyAlignment="1">
      <alignment horizontal="center" vertical="distributed"/>
    </xf>
    <xf numFmtId="0" fontId="8" fillId="0" borderId="39" xfId="0" applyFont="1" applyFill="1" applyBorder="1" applyAlignment="1">
      <alignment horizontal="center" vertical="distributed"/>
    </xf>
    <xf numFmtId="0" fontId="16" fillId="0" borderId="6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2" fontId="26" fillId="0" borderId="32" xfId="0" applyNumberFormat="1" applyFont="1" applyFill="1" applyBorder="1" applyAlignment="1">
      <alignment horizontal="center"/>
    </xf>
    <xf numFmtId="2" fontId="26" fillId="0" borderId="28" xfId="0" applyNumberFormat="1" applyFont="1" applyFill="1" applyBorder="1" applyAlignment="1">
      <alignment horizontal="center"/>
    </xf>
    <xf numFmtId="1" fontId="26" fillId="0" borderId="26" xfId="0" applyNumberFormat="1" applyFont="1" applyBorder="1" applyAlignment="1">
      <alignment horizontal="center"/>
    </xf>
    <xf numFmtId="1" fontId="26" fillId="0" borderId="27" xfId="0" applyNumberFormat="1" applyFont="1" applyBorder="1" applyAlignment="1">
      <alignment horizontal="center"/>
    </xf>
    <xf numFmtId="0" fontId="0" fillId="0" borderId="62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30" xfId="0" applyBorder="1" applyAlignment="1">
      <alignment horizontal="center" vertical="distributed"/>
    </xf>
    <xf numFmtId="0" fontId="8" fillId="0" borderId="25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44" borderId="0" xfId="0" applyFont="1" applyFill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3" fillId="0" borderId="62" xfId="0" applyFont="1" applyFill="1" applyBorder="1" applyAlignment="1">
      <alignment horizontal="center" vertical="distributed"/>
    </xf>
    <xf numFmtId="0" fontId="3" fillId="0" borderId="30" xfId="0" applyFont="1" applyFill="1" applyBorder="1" applyAlignment="1">
      <alignment horizontal="center" vertical="distributed"/>
    </xf>
    <xf numFmtId="0" fontId="0" fillId="0" borderId="62" xfId="0" applyFont="1" applyFill="1" applyBorder="1" applyAlignment="1">
      <alignment horizontal="center" vertical="distributed"/>
    </xf>
    <xf numFmtId="0" fontId="0" fillId="0" borderId="19" xfId="0" applyFont="1" applyFill="1" applyBorder="1" applyAlignment="1">
      <alignment horizontal="center" vertical="distributed"/>
    </xf>
    <xf numFmtId="0" fontId="0" fillId="0" borderId="30" xfId="0" applyFont="1" applyFill="1" applyBorder="1" applyAlignment="1">
      <alignment horizontal="center" vertical="distributed"/>
    </xf>
    <xf numFmtId="0" fontId="0" fillId="0" borderId="6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44" borderId="26" xfId="0" applyFont="1" applyFill="1" applyBorder="1" applyAlignment="1">
      <alignment horizontal="center" vertical="distributed"/>
    </xf>
    <xf numFmtId="0" fontId="8" fillId="44" borderId="39" xfId="0" applyFont="1" applyFill="1" applyBorder="1" applyAlignment="1">
      <alignment horizontal="center" vertical="distributed"/>
    </xf>
    <xf numFmtId="0" fontId="8" fillId="44" borderId="27" xfId="0" applyFont="1" applyFill="1" applyBorder="1" applyAlignment="1">
      <alignment horizontal="center" vertical="distributed"/>
    </xf>
    <xf numFmtId="0" fontId="16" fillId="0" borderId="26" xfId="0" applyFont="1" applyFill="1" applyBorder="1" applyAlignment="1">
      <alignment horizontal="center" vertical="distributed"/>
    </xf>
    <xf numFmtId="0" fontId="16" fillId="0" borderId="27" xfId="0" applyFont="1" applyFill="1" applyBorder="1" applyAlignment="1">
      <alignment horizontal="center" vertical="distributed"/>
    </xf>
    <xf numFmtId="0" fontId="20" fillId="0" borderId="0" xfId="0" applyFont="1" applyAlignment="1">
      <alignment horizontal="center" wrapText="1"/>
    </xf>
    <xf numFmtId="1" fontId="16" fillId="0" borderId="32" xfId="0" applyNumberFormat="1" applyFont="1" applyFill="1" applyBorder="1" applyAlignment="1">
      <alignment horizontal="center"/>
    </xf>
    <xf numFmtId="1" fontId="16" fillId="0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44" borderId="25" xfId="0" applyFont="1" applyFill="1" applyBorder="1" applyAlignment="1">
      <alignment horizontal="center" vertical="center" wrapText="1"/>
    </xf>
    <xf numFmtId="0" fontId="3" fillId="44" borderId="77" xfId="0" applyFont="1" applyFill="1" applyBorder="1" applyAlignment="1">
      <alignment horizontal="center" vertical="center" wrapText="1"/>
    </xf>
    <xf numFmtId="0" fontId="3" fillId="44" borderId="57" xfId="0" applyFont="1" applyFill="1" applyBorder="1" applyAlignment="1">
      <alignment horizontal="center" vertical="center" wrapText="1"/>
    </xf>
    <xf numFmtId="0" fontId="3" fillId="44" borderId="31" xfId="0" applyFont="1" applyFill="1" applyBorder="1" applyAlignment="1">
      <alignment horizontal="center" vertical="center" wrapText="1"/>
    </xf>
    <xf numFmtId="0" fontId="3" fillId="44" borderId="23" xfId="0" applyFont="1" applyFill="1" applyBorder="1" applyAlignment="1">
      <alignment horizontal="center" vertical="center" wrapText="1"/>
    </xf>
    <xf numFmtId="0" fontId="3" fillId="44" borderId="8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distributed"/>
    </xf>
    <xf numFmtId="0" fontId="3" fillId="0" borderId="25" xfId="0" applyFont="1" applyFill="1" applyBorder="1" applyAlignment="1">
      <alignment horizontal="center" vertical="distributed"/>
    </xf>
    <xf numFmtId="0" fontId="3" fillId="0" borderId="77" xfId="0" applyFont="1" applyFill="1" applyBorder="1" applyAlignment="1">
      <alignment horizontal="center" vertical="distributed"/>
    </xf>
    <xf numFmtId="1" fontId="8" fillId="0" borderId="26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distributed"/>
    </xf>
    <xf numFmtId="0" fontId="0" fillId="0" borderId="63" xfId="0" applyFont="1" applyFill="1" applyBorder="1" applyAlignment="1">
      <alignment horizontal="center" vertical="distributed"/>
    </xf>
    <xf numFmtId="0" fontId="0" fillId="0" borderId="0" xfId="0" applyFont="1" applyFill="1" applyBorder="1" applyAlignment="1">
      <alignment horizontal="center" vertical="distributed"/>
    </xf>
    <xf numFmtId="0" fontId="0" fillId="0" borderId="49" xfId="0" applyFont="1" applyFill="1" applyBorder="1" applyAlignment="1">
      <alignment horizontal="center" vertical="distributed"/>
    </xf>
    <xf numFmtId="1" fontId="9" fillId="0" borderId="23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0" fontId="8" fillId="44" borderId="26" xfId="0" applyFont="1" applyFill="1" applyBorder="1" applyAlignment="1">
      <alignment horizontal="center"/>
    </xf>
    <xf numFmtId="0" fontId="8" fillId="44" borderId="39" xfId="0" applyFont="1" applyFill="1" applyBorder="1" applyAlignment="1">
      <alignment horizontal="center"/>
    </xf>
    <xf numFmtId="0" fontId="8" fillId="44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distributed"/>
    </xf>
    <xf numFmtId="0" fontId="3" fillId="0" borderId="27" xfId="0" applyFont="1" applyFill="1" applyBorder="1" applyAlignment="1">
      <alignment horizontal="center" vertical="distributed"/>
    </xf>
    <xf numFmtId="0" fontId="0" fillId="0" borderId="39" xfId="0" applyBorder="1" applyAlignment="1">
      <alignment horizontal="center" vertical="distributed"/>
    </xf>
    <xf numFmtId="0" fontId="0" fillId="0" borderId="27" xfId="0" applyBorder="1" applyAlignment="1">
      <alignment horizontal="center" vertical="distributed"/>
    </xf>
    <xf numFmtId="0" fontId="0" fillId="0" borderId="0" xfId="0" applyBorder="1" applyAlignment="1">
      <alignment horizontal="center"/>
    </xf>
    <xf numFmtId="0" fontId="3" fillId="0" borderId="23" xfId="0" applyFont="1" applyFill="1" applyBorder="1" applyAlignment="1">
      <alignment horizontal="center" vertical="distributed"/>
    </xf>
    <xf numFmtId="0" fontId="3" fillId="0" borderId="82" xfId="0" applyFont="1" applyFill="1" applyBorder="1" applyAlignment="1">
      <alignment horizontal="center" vertical="distributed"/>
    </xf>
    <xf numFmtId="0" fontId="3" fillId="0" borderId="49" xfId="0" applyFont="1" applyFill="1" applyBorder="1" applyAlignment="1">
      <alignment horizontal="center" vertical="distributed"/>
    </xf>
    <xf numFmtId="0" fontId="0" fillId="38" borderId="26" xfId="89" applyFill="1" applyBorder="1" applyAlignment="1">
      <alignment horizontal="center"/>
      <protection/>
    </xf>
    <xf numFmtId="0" fontId="0" fillId="38" borderId="39" xfId="89" applyFill="1" applyBorder="1" applyAlignment="1">
      <alignment horizontal="center"/>
      <protection/>
    </xf>
    <xf numFmtId="0" fontId="0" fillId="38" borderId="27" xfId="89" applyFill="1" applyBorder="1" applyAlignment="1">
      <alignment horizontal="center"/>
      <protection/>
    </xf>
    <xf numFmtId="0" fontId="0" fillId="39" borderId="29" xfId="89" applyFill="1" applyBorder="1" applyAlignment="1">
      <alignment horizontal="center"/>
      <protection/>
    </xf>
    <xf numFmtId="0" fontId="0" fillId="39" borderId="44" xfId="89" applyFill="1" applyBorder="1" applyAlignment="1">
      <alignment horizontal="center"/>
      <protection/>
    </xf>
    <xf numFmtId="0" fontId="0" fillId="39" borderId="78" xfId="89" applyFill="1" applyBorder="1" applyAlignment="1">
      <alignment horizontal="center"/>
      <protection/>
    </xf>
    <xf numFmtId="0" fontId="0" fillId="39" borderId="52" xfId="89" applyFill="1" applyBorder="1" applyAlignment="1">
      <alignment horizontal="center"/>
      <protection/>
    </xf>
    <xf numFmtId="0" fontId="0" fillId="39" borderId="42" xfId="89" applyFill="1" applyBorder="1" applyAlignment="1">
      <alignment horizontal="center"/>
      <protection/>
    </xf>
    <xf numFmtId="0" fontId="0" fillId="40" borderId="29" xfId="89" applyFill="1" applyBorder="1" applyAlignment="1">
      <alignment horizontal="center"/>
      <protection/>
    </xf>
    <xf numFmtId="0" fontId="0" fillId="40" borderId="44" xfId="89" applyFill="1" applyBorder="1" applyAlignment="1">
      <alignment horizontal="center"/>
      <protection/>
    </xf>
    <xf numFmtId="0" fontId="0" fillId="40" borderId="78" xfId="89" applyFill="1" applyBorder="1" applyAlignment="1">
      <alignment horizontal="center"/>
      <protection/>
    </xf>
    <xf numFmtId="0" fontId="0" fillId="40" borderId="52" xfId="89" applyFill="1" applyBorder="1" applyAlignment="1">
      <alignment horizontal="center"/>
      <protection/>
    </xf>
    <xf numFmtId="0" fontId="0" fillId="40" borderId="42" xfId="89" applyFill="1" applyBorder="1" applyAlignment="1">
      <alignment horizontal="center"/>
      <protection/>
    </xf>
    <xf numFmtId="0" fontId="0" fillId="0" borderId="54" xfId="89" applyBorder="1" applyAlignment="1">
      <alignment horizontal="center" vertical="justify"/>
      <protection/>
    </xf>
    <xf numFmtId="197" fontId="0" fillId="0" borderId="54" xfId="89" applyNumberFormat="1" applyFill="1" applyBorder="1" applyAlignment="1">
      <alignment horizontal="center" vertical="distributed"/>
      <protection/>
    </xf>
    <xf numFmtId="0" fontId="0" fillId="0" borderId="54" xfId="89" applyFill="1" applyBorder="1" applyAlignment="1">
      <alignment horizontal="right" vertical="distributed"/>
      <protection/>
    </xf>
    <xf numFmtId="0" fontId="0" fillId="0" borderId="78" xfId="89" applyFill="1" applyBorder="1" applyAlignment="1">
      <alignment horizontal="center" vertical="justify"/>
      <protection/>
    </xf>
    <xf numFmtId="0" fontId="0" fillId="0" borderId="28" xfId="89" applyFill="1" applyBorder="1" applyAlignment="1">
      <alignment horizontal="right" vertical="distributed"/>
      <protection/>
    </xf>
    <xf numFmtId="0" fontId="0" fillId="0" borderId="32" xfId="89" applyFill="1" applyBorder="1" applyAlignment="1">
      <alignment horizontal="center" vertical="justify"/>
      <protection/>
    </xf>
    <xf numFmtId="200" fontId="0" fillId="0" borderId="28" xfId="89" applyNumberFormat="1" applyFill="1" applyBorder="1" applyAlignment="1">
      <alignment horizontal="right" vertical="distributed"/>
      <protection/>
    </xf>
    <xf numFmtId="0" fontId="0" fillId="0" borderId="54" xfId="89" applyFill="1" applyBorder="1" applyAlignment="1">
      <alignment horizontal="center" vertical="justify"/>
      <protection/>
    </xf>
    <xf numFmtId="200" fontId="0" fillId="0" borderId="54" xfId="89" applyNumberFormat="1" applyFill="1" applyBorder="1" applyAlignment="1">
      <alignment horizontal="right" vertical="distributed"/>
      <protection/>
    </xf>
    <xf numFmtId="0" fontId="0" fillId="0" borderId="47" xfId="89" applyBorder="1" applyAlignment="1">
      <alignment horizontal="center" vertical="justify"/>
      <protection/>
    </xf>
    <xf numFmtId="197" fontId="0" fillId="0" borderId="47" xfId="89" applyNumberFormat="1" applyFill="1" applyBorder="1" applyAlignment="1">
      <alignment horizontal="center" vertical="distributed"/>
      <protection/>
    </xf>
    <xf numFmtId="0" fontId="0" fillId="0" borderId="47" xfId="89" applyFill="1" applyBorder="1" applyAlignment="1">
      <alignment horizontal="right" vertical="distributed"/>
      <protection/>
    </xf>
    <xf numFmtId="0" fontId="0" fillId="0" borderId="79" xfId="89" applyFill="1" applyBorder="1" applyAlignment="1">
      <alignment horizontal="center" vertical="justify"/>
      <protection/>
    </xf>
    <xf numFmtId="0" fontId="0" fillId="0" borderId="64" xfId="89" applyFill="1" applyBorder="1" applyAlignment="1">
      <alignment horizontal="right" vertical="distributed"/>
      <protection/>
    </xf>
    <xf numFmtId="0" fontId="0" fillId="0" borderId="35" xfId="89" applyFill="1" applyBorder="1" applyAlignment="1">
      <alignment horizontal="center" vertical="justify"/>
      <protection/>
    </xf>
    <xf numFmtId="200" fontId="0" fillId="0" borderId="64" xfId="89" applyNumberFormat="1" applyFill="1" applyBorder="1" applyAlignment="1">
      <alignment horizontal="right" vertical="distributed"/>
      <protection/>
    </xf>
    <xf numFmtId="0" fontId="0" fillId="0" borderId="47" xfId="89" applyFill="1" applyBorder="1" applyAlignment="1">
      <alignment horizontal="center" vertical="justify"/>
      <protection/>
    </xf>
    <xf numFmtId="200" fontId="0" fillId="0" borderId="47" xfId="89" applyNumberFormat="1" applyFill="1" applyBorder="1" applyAlignment="1">
      <alignment horizontal="right" vertical="distributed"/>
      <protection/>
    </xf>
    <xf numFmtId="0" fontId="0" fillId="0" borderId="0" xfId="89" applyBorder="1" applyAlignment="1">
      <alignment horizontal="center" vertical="justify"/>
      <protection/>
    </xf>
    <xf numFmtId="0" fontId="0" fillId="0" borderId="0" xfId="89" applyAlignment="1">
      <alignment horizontal="center" vertical="justify"/>
      <protection/>
    </xf>
    <xf numFmtId="0" fontId="8" fillId="47" borderId="26" xfId="0" applyFont="1" applyFill="1" applyBorder="1" applyAlignment="1">
      <alignment horizontal="center" vertical="distributed"/>
    </xf>
    <xf numFmtId="0" fontId="8" fillId="47" borderId="39" xfId="0" applyFont="1" applyFill="1" applyBorder="1" applyAlignment="1">
      <alignment horizontal="center" vertical="distributed"/>
    </xf>
    <xf numFmtId="0" fontId="8" fillId="47" borderId="27" xfId="0" applyFont="1" applyFill="1" applyBorder="1" applyAlignment="1">
      <alignment horizontal="center" vertical="distributed"/>
    </xf>
    <xf numFmtId="0" fontId="9" fillId="0" borderId="75" xfId="0" applyFont="1" applyBorder="1" applyAlignment="1">
      <alignment horizontal="center"/>
    </xf>
    <xf numFmtId="0" fontId="8" fillId="36" borderId="26" xfId="0" applyFont="1" applyFill="1" applyBorder="1" applyAlignment="1">
      <alignment horizontal="center" vertical="distributed"/>
    </xf>
    <xf numFmtId="0" fontId="8" fillId="36" borderId="39" xfId="0" applyFont="1" applyFill="1" applyBorder="1" applyAlignment="1">
      <alignment horizontal="center" vertical="distributed"/>
    </xf>
    <xf numFmtId="0" fontId="8" fillId="36" borderId="27" xfId="0" applyFont="1" applyFill="1" applyBorder="1" applyAlignment="1">
      <alignment horizontal="center" vertical="distributed"/>
    </xf>
    <xf numFmtId="0" fontId="3" fillId="0" borderId="26" xfId="0" applyFont="1" applyBorder="1" applyAlignment="1">
      <alignment horizontal="center" vertical="distributed"/>
    </xf>
    <xf numFmtId="0" fontId="3" fillId="0" borderId="27" xfId="0" applyFont="1" applyBorder="1" applyAlignment="1">
      <alignment horizontal="center" vertical="distributed"/>
    </xf>
    <xf numFmtId="0" fontId="8" fillId="36" borderId="23" xfId="0" applyFont="1" applyFill="1" applyBorder="1" applyAlignment="1">
      <alignment horizontal="center" vertical="distributed"/>
    </xf>
    <xf numFmtId="0" fontId="8" fillId="36" borderId="49" xfId="0" applyFont="1" applyFill="1" applyBorder="1" applyAlignment="1">
      <alignment horizontal="center" vertical="distributed"/>
    </xf>
    <xf numFmtId="0" fontId="8" fillId="36" borderId="82" xfId="0" applyFont="1" applyFill="1" applyBorder="1" applyAlignment="1">
      <alignment horizontal="center" vertical="distributed"/>
    </xf>
    <xf numFmtId="0" fontId="8" fillId="48" borderId="23" xfId="0" applyFont="1" applyFill="1" applyBorder="1" applyAlignment="1">
      <alignment horizontal="center" vertical="distributed"/>
    </xf>
    <xf numFmtId="0" fontId="8" fillId="48" borderId="49" xfId="0" applyFont="1" applyFill="1" applyBorder="1" applyAlignment="1">
      <alignment horizontal="center" vertical="distributed"/>
    </xf>
    <xf numFmtId="0" fontId="8" fillId="48" borderId="82" xfId="0" applyFont="1" applyFill="1" applyBorder="1" applyAlignment="1">
      <alignment horizontal="center" vertical="distributed"/>
    </xf>
    <xf numFmtId="0" fontId="106" fillId="36" borderId="23" xfId="0" applyFont="1" applyFill="1" applyBorder="1" applyAlignment="1">
      <alignment horizontal="center" vertical="distributed"/>
    </xf>
    <xf numFmtId="0" fontId="106" fillId="36" borderId="49" xfId="0" applyFont="1" applyFill="1" applyBorder="1" applyAlignment="1">
      <alignment horizontal="center" vertical="distributed"/>
    </xf>
    <xf numFmtId="0" fontId="106" fillId="36" borderId="82" xfId="0" applyFont="1" applyFill="1" applyBorder="1" applyAlignment="1">
      <alignment horizontal="center" vertical="distributed"/>
    </xf>
    <xf numFmtId="0" fontId="8" fillId="48" borderId="26" xfId="0" applyFont="1" applyFill="1" applyBorder="1" applyAlignment="1">
      <alignment horizontal="center" vertical="distributed"/>
    </xf>
    <xf numFmtId="0" fontId="8" fillId="48" borderId="39" xfId="0" applyFont="1" applyFill="1" applyBorder="1" applyAlignment="1">
      <alignment horizontal="center" vertical="distributed"/>
    </xf>
    <xf numFmtId="0" fontId="8" fillId="48" borderId="27" xfId="0" applyFont="1" applyFill="1" applyBorder="1" applyAlignment="1">
      <alignment horizontal="center" vertical="distributed"/>
    </xf>
    <xf numFmtId="0" fontId="3" fillId="44" borderId="23" xfId="0" applyFont="1" applyFill="1" applyBorder="1" applyAlignment="1">
      <alignment horizontal="center" vertical="distributed"/>
    </xf>
    <xf numFmtId="0" fontId="3" fillId="44" borderId="82" xfId="0" applyFont="1" applyFill="1" applyBorder="1" applyAlignment="1">
      <alignment horizontal="center" vertical="distributed"/>
    </xf>
    <xf numFmtId="0" fontId="3" fillId="44" borderId="26" xfId="0" applyFont="1" applyFill="1" applyBorder="1" applyAlignment="1">
      <alignment horizontal="center" vertical="distributed"/>
    </xf>
    <xf numFmtId="0" fontId="3" fillId="44" borderId="27" xfId="0" applyFont="1" applyFill="1" applyBorder="1" applyAlignment="1">
      <alignment horizontal="center" vertical="distributed"/>
    </xf>
    <xf numFmtId="0" fontId="0" fillId="0" borderId="39" xfId="0" applyFill="1" applyBorder="1" applyAlignment="1">
      <alignment horizontal="center" vertical="distributed"/>
    </xf>
    <xf numFmtId="0" fontId="0" fillId="0" borderId="27" xfId="0" applyFill="1" applyBorder="1" applyAlignment="1">
      <alignment horizontal="center" vertical="distributed"/>
    </xf>
    <xf numFmtId="0" fontId="3" fillId="44" borderId="49" xfId="0" applyFont="1" applyFill="1" applyBorder="1" applyAlignment="1">
      <alignment horizontal="center" vertical="distributed"/>
    </xf>
    <xf numFmtId="0" fontId="7" fillId="44" borderId="26" xfId="0" applyFont="1" applyFill="1" applyBorder="1" applyAlignment="1">
      <alignment horizontal="center" vertical="distributed"/>
    </xf>
    <xf numFmtId="0" fontId="7" fillId="44" borderId="27" xfId="0" applyFont="1" applyFill="1" applyBorder="1" applyAlignment="1">
      <alignment horizontal="center" vertical="distributed"/>
    </xf>
    <xf numFmtId="0" fontId="7" fillId="44" borderId="26" xfId="0" applyFont="1" applyFill="1" applyBorder="1" applyAlignment="1">
      <alignment horizontal="center" vertical="distributed"/>
    </xf>
    <xf numFmtId="0" fontId="7" fillId="44" borderId="0" xfId="0" applyFont="1" applyFill="1" applyBorder="1" applyAlignment="1">
      <alignment horizontal="center" vertical="distributed"/>
    </xf>
    <xf numFmtId="0" fontId="7" fillId="44" borderId="25" xfId="0" applyFont="1" applyFill="1" applyBorder="1" applyAlignment="1">
      <alignment horizontal="center" vertical="distributed"/>
    </xf>
    <xf numFmtId="0" fontId="7" fillId="44" borderId="77" xfId="0" applyFont="1" applyFill="1" applyBorder="1" applyAlignment="1">
      <alignment horizontal="center" vertical="distributed"/>
    </xf>
    <xf numFmtId="0" fontId="8" fillId="0" borderId="27" xfId="0" applyFont="1" applyFill="1" applyBorder="1" applyAlignment="1">
      <alignment horizontal="center" vertical="distributed"/>
    </xf>
    <xf numFmtId="0" fontId="3" fillId="0" borderId="0" xfId="88" applyFont="1" applyFill="1" applyAlignment="1">
      <alignment horizontal="left"/>
      <protection/>
    </xf>
    <xf numFmtId="0" fontId="3" fillId="0" borderId="0" xfId="88" applyFont="1" applyAlignment="1">
      <alignment horizontal="left"/>
      <protection/>
    </xf>
    <xf numFmtId="0" fontId="8" fillId="0" borderId="0" xfId="88" applyFont="1" applyAlignment="1">
      <alignment horizontal="center" wrapText="1"/>
      <protection/>
    </xf>
    <xf numFmtId="0" fontId="0" fillId="0" borderId="62" xfId="88" applyFill="1" applyBorder="1" applyAlignment="1">
      <alignment horizontal="center" vertical="distributed"/>
      <protection/>
    </xf>
    <xf numFmtId="0" fontId="0" fillId="0" borderId="19" xfId="88" applyFill="1" applyBorder="1" applyAlignment="1">
      <alignment horizontal="center" vertical="distributed"/>
      <protection/>
    </xf>
    <xf numFmtId="0" fontId="0" fillId="0" borderId="30" xfId="88" applyFill="1" applyBorder="1" applyAlignment="1">
      <alignment horizontal="center" vertical="distributed"/>
      <protection/>
    </xf>
    <xf numFmtId="0" fontId="8" fillId="44" borderId="0" xfId="88" applyFont="1" applyFill="1" applyAlignment="1">
      <alignment horizontal="center" wrapText="1"/>
      <protection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41" borderId="39" xfId="0" applyFont="1" applyFill="1" applyBorder="1" applyAlignment="1">
      <alignment horizontal="center" vertical="distributed"/>
    </xf>
    <xf numFmtId="0" fontId="9" fillId="44" borderId="62" xfId="0" applyFont="1" applyFill="1" applyBorder="1" applyAlignment="1">
      <alignment horizontal="center" vertical="center" wrapText="1"/>
    </xf>
    <xf numFmtId="0" fontId="9" fillId="44" borderId="19" xfId="0" applyFont="1" applyFill="1" applyBorder="1" applyAlignment="1">
      <alignment horizontal="center" vertical="center" wrapText="1"/>
    </xf>
    <xf numFmtId="0" fontId="9" fillId="44" borderId="30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9" fillId="44" borderId="26" xfId="0" applyFont="1" applyFill="1" applyBorder="1" applyAlignment="1">
      <alignment horizontal="center" vertical="distributed"/>
    </xf>
    <xf numFmtId="0" fontId="9" fillId="44" borderId="39" xfId="0" applyFont="1" applyFill="1" applyBorder="1" applyAlignment="1">
      <alignment horizontal="center" vertical="distributed"/>
    </xf>
    <xf numFmtId="0" fontId="9" fillId="44" borderId="26" xfId="0" applyFont="1" applyFill="1" applyBorder="1" applyAlignment="1">
      <alignment horizontal="center" vertical="center"/>
    </xf>
    <xf numFmtId="0" fontId="9" fillId="44" borderId="27" xfId="0" applyFont="1" applyFill="1" applyBorder="1" applyAlignment="1">
      <alignment horizontal="center" vertical="center"/>
    </xf>
    <xf numFmtId="0" fontId="9" fillId="44" borderId="27" xfId="0" applyFont="1" applyFill="1" applyBorder="1" applyAlignment="1">
      <alignment horizontal="center" vertical="distributed"/>
    </xf>
    <xf numFmtId="0" fontId="4" fillId="44" borderId="26" xfId="0" applyFont="1" applyFill="1" applyBorder="1" applyAlignment="1">
      <alignment horizontal="center" vertical="center" wrapText="1"/>
    </xf>
    <xf numFmtId="0" fontId="4" fillId="44" borderId="27" xfId="0" applyFont="1" applyFill="1" applyBorder="1" applyAlignment="1">
      <alignment horizontal="center" vertical="center" wrapText="1"/>
    </xf>
    <xf numFmtId="0" fontId="1" fillId="41" borderId="26" xfId="0" applyFont="1" applyFill="1" applyBorder="1" applyAlignment="1">
      <alignment horizontal="center" vertical="distributed"/>
    </xf>
    <xf numFmtId="0" fontId="1" fillId="41" borderId="39" xfId="0" applyFont="1" applyFill="1" applyBorder="1" applyAlignment="1">
      <alignment horizontal="center" vertical="distributed"/>
    </xf>
    <xf numFmtId="0" fontId="3" fillId="0" borderId="55" xfId="0" applyFont="1" applyFill="1" applyBorder="1" applyAlignment="1">
      <alignment horizontal="center" vertical="distributed"/>
    </xf>
    <xf numFmtId="0" fontId="3" fillId="0" borderId="20" xfId="0" applyFont="1" applyFill="1" applyBorder="1" applyAlignment="1">
      <alignment horizontal="center" vertical="distributed"/>
    </xf>
    <xf numFmtId="0" fontId="3" fillId="0" borderId="39" xfId="0" applyFont="1" applyFill="1" applyBorder="1" applyAlignment="1">
      <alignment horizontal="center" vertical="distributed"/>
    </xf>
    <xf numFmtId="0" fontId="3" fillId="44" borderId="39" xfId="0" applyFont="1" applyFill="1" applyBorder="1" applyAlignment="1">
      <alignment horizontal="center" vertical="distributed"/>
    </xf>
    <xf numFmtId="0" fontId="3" fillId="44" borderId="49" xfId="0" applyFont="1" applyFill="1" applyBorder="1" applyAlignment="1">
      <alignment horizontal="center" vertical="center" wrapText="1"/>
    </xf>
    <xf numFmtId="0" fontId="20" fillId="44" borderId="26" xfId="0" applyFont="1" applyFill="1" applyBorder="1" applyAlignment="1">
      <alignment horizontal="center" vertical="distributed"/>
    </xf>
    <xf numFmtId="0" fontId="20" fillId="44" borderId="39" xfId="0" applyFont="1" applyFill="1" applyBorder="1" applyAlignment="1">
      <alignment horizontal="center" vertical="distributed"/>
    </xf>
    <xf numFmtId="0" fontId="20" fillId="44" borderId="27" xfId="0" applyFont="1" applyFill="1" applyBorder="1" applyAlignment="1">
      <alignment horizontal="center" vertical="distributed"/>
    </xf>
    <xf numFmtId="0" fontId="7" fillId="0" borderId="23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distributed"/>
    </xf>
    <xf numFmtId="0" fontId="7" fillId="0" borderId="82" xfId="0" applyFont="1" applyFill="1" applyBorder="1" applyAlignment="1">
      <alignment horizontal="center" vertical="distributed"/>
    </xf>
    <xf numFmtId="0" fontId="3" fillId="0" borderId="23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44" borderId="26" xfId="0" applyFont="1" applyFill="1" applyBorder="1" applyAlignment="1">
      <alignment horizontal="center" vertical="center" wrapText="1"/>
    </xf>
    <xf numFmtId="0" fontId="3" fillId="44" borderId="2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2" fontId="8" fillId="0" borderId="36" xfId="0" applyNumberFormat="1" applyFont="1" applyFill="1" applyBorder="1" applyAlignment="1">
      <alignment horizontal="left"/>
    </xf>
    <xf numFmtId="2" fontId="8" fillId="0" borderId="46" xfId="0" applyNumberFormat="1" applyFont="1" applyFill="1" applyBorder="1" applyAlignment="1">
      <alignment horizontal="left"/>
    </xf>
    <xf numFmtId="2" fontId="8" fillId="0" borderId="32" xfId="0" applyNumberFormat="1" applyFont="1" applyFill="1" applyBorder="1" applyAlignment="1">
      <alignment horizontal="left"/>
    </xf>
    <xf numFmtId="2" fontId="8" fillId="0" borderId="54" xfId="0" applyNumberFormat="1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44" borderId="55" xfId="0" applyFont="1" applyFill="1" applyBorder="1" applyAlignment="1">
      <alignment horizontal="center" vertical="center" wrapText="1"/>
    </xf>
    <xf numFmtId="0" fontId="3" fillId="44" borderId="39" xfId="0" applyFont="1" applyFill="1" applyBorder="1" applyAlignment="1">
      <alignment horizontal="center" vertical="center" wrapText="1"/>
    </xf>
    <xf numFmtId="0" fontId="4" fillId="43" borderId="26" xfId="0" applyFont="1" applyFill="1" applyBorder="1" applyAlignment="1">
      <alignment horizontal="center" vertical="center" wrapText="1"/>
    </xf>
    <xf numFmtId="0" fontId="4" fillId="43" borderId="2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0" fontId="3" fillId="0" borderId="49" xfId="0" applyFont="1" applyBorder="1" applyAlignment="1">
      <alignment horizontal="center" vertical="center" wrapText="1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2" xfId="87"/>
    <cellStyle name="Обычный 2 5" xfId="88"/>
    <cellStyle name="Обычный 3" xfId="89"/>
    <cellStyle name="Обычный_Таблица для внесения показаний-ИЮЛЬ" xfId="90"/>
    <cellStyle name="Обычный_Таблица для внесения показаний-ИЮЛЬ 2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E11" sqref="E11"/>
    </sheetView>
  </sheetViews>
  <sheetFormatPr defaultColWidth="9.140625" defaultRowHeight="12.75"/>
  <sheetData>
    <row r="2" ht="12.75">
      <c r="B2" t="s">
        <v>340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D51"/>
  <sheetViews>
    <sheetView view="pageBreakPreview" zoomScale="70" zoomScaleSheetLayoutView="70" zoomScalePageLayoutView="0" workbookViewId="0" topLeftCell="AZ1">
      <selection activeCell="BE2" sqref="BE2:BU2"/>
    </sheetView>
  </sheetViews>
  <sheetFormatPr defaultColWidth="9.140625" defaultRowHeight="12.75"/>
  <cols>
    <col min="1" max="1" width="2.28125" style="0" customWidth="1"/>
    <col min="2" max="2" width="7.140625" style="0" customWidth="1"/>
    <col min="3" max="3" width="16.8515625" style="0" customWidth="1"/>
    <col min="4" max="4" width="15.421875" style="0" customWidth="1"/>
    <col min="5" max="5" width="16.7109375" style="0" customWidth="1"/>
    <col min="6" max="6" width="15.7109375" style="0" customWidth="1"/>
    <col min="7" max="7" width="3.421875" style="104" customWidth="1"/>
    <col min="8" max="8" width="12.421875" style="0" customWidth="1"/>
    <col min="9" max="9" width="10.00390625" style="0" customWidth="1"/>
    <col min="10" max="10" width="12.421875" style="0" customWidth="1"/>
    <col min="11" max="11" width="10.28125" style="0" customWidth="1"/>
    <col min="12" max="12" width="12.140625" style="0" customWidth="1"/>
    <col min="13" max="13" width="10.7109375" style="0" customWidth="1"/>
    <col min="14" max="14" width="10.8515625" style="0" customWidth="1"/>
    <col min="15" max="16" width="11.00390625" style="0" customWidth="1"/>
    <col min="17" max="17" width="10.8515625" style="0" customWidth="1"/>
    <col min="18" max="18" width="7.140625" style="0" customWidth="1"/>
    <col min="19" max="19" width="11.421875" style="0" customWidth="1"/>
    <col min="20" max="20" width="10.28125" style="0" customWidth="1"/>
    <col min="21" max="21" width="10.8515625" style="0" customWidth="1"/>
    <col min="22" max="22" width="9.7109375" style="0" customWidth="1"/>
    <col min="23" max="23" width="10.7109375" style="0" customWidth="1"/>
    <col min="24" max="24" width="9.7109375" style="0" customWidth="1"/>
    <col min="25" max="25" width="10.7109375" style="0" customWidth="1"/>
    <col min="26" max="26" width="9.7109375" style="0" customWidth="1"/>
    <col min="27" max="27" width="10.7109375" style="0" customWidth="1"/>
    <col min="28" max="28" width="9.7109375" style="0" customWidth="1"/>
    <col min="29" max="29" width="10.7109375" style="0" customWidth="1"/>
    <col min="30" max="36" width="9.7109375" style="0" customWidth="1"/>
    <col min="37" max="37" width="11.00390625" style="0" customWidth="1"/>
    <col min="38" max="38" width="10.00390625" style="0" customWidth="1"/>
    <col min="39" max="39" width="13.57421875" style="0" customWidth="1"/>
    <col min="40" max="40" width="10.00390625" style="0" customWidth="1"/>
    <col min="41" max="41" width="11.00390625" style="0" customWidth="1"/>
    <col min="42" max="42" width="10.00390625" style="0" customWidth="1"/>
    <col min="43" max="43" width="11.00390625" style="0" customWidth="1"/>
    <col min="44" max="46" width="10.00390625" style="0" customWidth="1"/>
    <col min="47" max="47" width="12.57421875" style="0" customWidth="1"/>
    <col min="48" max="49" width="9.8515625" style="0" customWidth="1"/>
    <col min="50" max="50" width="9.57421875" style="0" customWidth="1"/>
    <col min="52" max="52" width="9.57421875" style="0" customWidth="1"/>
    <col min="53" max="53" width="10.00390625" style="0" customWidth="1"/>
    <col min="54" max="54" width="9.57421875" style="0" customWidth="1"/>
    <col min="55" max="55" width="9.8515625" style="0" bestFit="1" customWidth="1"/>
    <col min="56" max="58" width="9.7109375" style="0" customWidth="1"/>
    <col min="59" max="59" width="7.140625" style="0" customWidth="1"/>
    <col min="60" max="60" width="9.8515625" style="0" bestFit="1" customWidth="1"/>
    <col min="61" max="61" width="10.28125" style="0" customWidth="1"/>
    <col min="62" max="62" width="9.8515625" style="0" customWidth="1"/>
    <col min="63" max="63" width="11.7109375" style="0" customWidth="1"/>
    <col min="64" max="64" width="11.140625" style="0" customWidth="1"/>
    <col min="65" max="65" width="10.28125" style="0" customWidth="1"/>
    <col min="66" max="66" width="3.421875" style="104" customWidth="1"/>
    <col min="67" max="67" width="12.8515625" style="0" customWidth="1"/>
    <col min="68" max="68" width="10.421875" style="0" customWidth="1"/>
    <col min="69" max="69" width="13.421875" style="0" customWidth="1"/>
    <col min="70" max="70" width="17.7109375" style="0" bestFit="1" customWidth="1"/>
    <col min="71" max="71" width="9.57421875" style="0" bestFit="1" customWidth="1"/>
    <col min="73" max="75" width="9.140625" style="2" customWidth="1"/>
    <col min="76" max="76" width="15.7109375" style="0" customWidth="1"/>
    <col min="77" max="77" width="20.57421875" style="0" customWidth="1"/>
  </cols>
  <sheetData>
    <row r="1" spans="1:82" ht="45" customHeight="1">
      <c r="A1" s="187"/>
      <c r="B1" s="679" t="str">
        <f>R1</f>
        <v>Ведомость замеров электрических нагрузок в сетях филиала АО "Горэлектросеть"  "ПЭС", присоединенных к сетям ООО "РН-Юганскнефтегаз", 21-22 июня 2017г.</v>
      </c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722" t="s">
        <v>252</v>
      </c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  <c r="AD1" s="722"/>
      <c r="AE1" s="722"/>
      <c r="AF1" s="722"/>
      <c r="AG1" s="722"/>
      <c r="AH1" s="722"/>
      <c r="AI1" s="722"/>
      <c r="AJ1" s="722"/>
      <c r="AK1" s="722"/>
      <c r="AL1" s="722"/>
      <c r="AM1" s="722"/>
      <c r="AN1" s="722" t="str">
        <f>R1</f>
        <v>Ведомость замеров электрических нагрузок в сетях филиала АО "Горэлектросеть"  "ПЭС", присоединенных к сетям ООО "РН-Юганскнефтегаз", 21-22 июня 2017г.</v>
      </c>
      <c r="AO1" s="722"/>
      <c r="AP1" s="722"/>
      <c r="AQ1" s="722"/>
      <c r="AR1" s="722"/>
      <c r="AS1" s="722"/>
      <c r="AT1" s="722"/>
      <c r="AU1" s="722"/>
      <c r="AV1" s="722"/>
      <c r="AW1" s="722"/>
      <c r="AX1" s="722"/>
      <c r="AY1" s="722"/>
      <c r="AZ1" s="722"/>
      <c r="BA1" s="722"/>
      <c r="BB1" s="722"/>
      <c r="BC1" s="722"/>
      <c r="BD1" s="722"/>
      <c r="BE1" s="722" t="str">
        <f>AN1</f>
        <v>Ведомость замеров электрических нагрузок в сетях филиала АО "Горэлектросеть"  "ПЭС", присоединенных к сетям ООО "РН-Юганскнефтегаз", 21-22 июня 2017г.</v>
      </c>
      <c r="BF1" s="722"/>
      <c r="BG1" s="722"/>
      <c r="BH1" s="722"/>
      <c r="BI1" s="722"/>
      <c r="BJ1" s="722"/>
      <c r="BK1" s="722"/>
      <c r="BL1" s="722"/>
      <c r="BM1" s="722"/>
      <c r="BN1" s="722"/>
      <c r="BO1" s="722"/>
      <c r="BP1" s="722"/>
      <c r="BQ1" s="722"/>
      <c r="BR1" s="722"/>
      <c r="BS1" s="722"/>
      <c r="BT1" s="722"/>
      <c r="BU1" s="722"/>
      <c r="BV1" s="725"/>
      <c r="BW1" s="725"/>
      <c r="BX1" s="725"/>
      <c r="BY1" s="725"/>
      <c r="BZ1" s="725"/>
      <c r="CA1" s="725"/>
      <c r="CB1" s="725"/>
      <c r="CC1" s="725"/>
      <c r="CD1" s="95"/>
    </row>
    <row r="2" spans="2:82" ht="25.5" customHeight="1"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539"/>
      <c r="AK2" s="539"/>
      <c r="AL2" s="539"/>
      <c r="AM2" s="539"/>
      <c r="AN2" s="539"/>
      <c r="AO2" s="539"/>
      <c r="AP2" s="539"/>
      <c r="AQ2" s="539"/>
      <c r="AR2" s="539"/>
      <c r="AS2" s="539"/>
      <c r="AT2" s="539"/>
      <c r="AU2" s="539"/>
      <c r="AV2" s="539"/>
      <c r="AW2" s="539"/>
      <c r="AX2" s="539"/>
      <c r="AY2" s="539"/>
      <c r="AZ2" s="539"/>
      <c r="BA2" s="539"/>
      <c r="BB2" s="539"/>
      <c r="BC2" s="539"/>
      <c r="BD2" s="539"/>
      <c r="BE2" s="727"/>
      <c r="BF2" s="727"/>
      <c r="BG2" s="727"/>
      <c r="BH2" s="727"/>
      <c r="BI2" s="727"/>
      <c r="BJ2" s="727"/>
      <c r="BK2" s="727"/>
      <c r="BL2" s="727"/>
      <c r="BM2" s="727"/>
      <c r="BN2" s="727"/>
      <c r="BO2" s="727"/>
      <c r="BP2" s="727"/>
      <c r="BQ2" s="727"/>
      <c r="BR2" s="727"/>
      <c r="BS2" s="727"/>
      <c r="BT2" s="727"/>
      <c r="BU2" s="727"/>
      <c r="BV2" s="726"/>
      <c r="BW2" s="726"/>
      <c r="BX2" s="726"/>
      <c r="BY2" s="726"/>
      <c r="BZ2" s="726"/>
      <c r="CA2" s="726"/>
      <c r="CB2" s="726"/>
      <c r="CC2" s="726"/>
      <c r="CD2" s="96"/>
    </row>
    <row r="3" spans="8:81" ht="13.5" thickBot="1">
      <c r="H3" s="25"/>
      <c r="I3" s="24"/>
      <c r="J3" s="26"/>
      <c r="K3" s="24"/>
      <c r="L3" s="26"/>
      <c r="M3" s="24"/>
      <c r="N3" s="26"/>
      <c r="O3" s="24"/>
      <c r="P3" s="3"/>
      <c r="Q3" s="189" t="s">
        <v>87</v>
      </c>
      <c r="S3" s="3"/>
      <c r="T3" s="3"/>
      <c r="U3" s="26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6"/>
      <c r="AL3" s="27"/>
      <c r="AM3" s="189" t="s">
        <v>88</v>
      </c>
      <c r="AN3" s="27"/>
      <c r="AO3" s="26"/>
      <c r="AP3" s="27"/>
      <c r="AQ3" s="26"/>
      <c r="AU3" s="29"/>
      <c r="AV3" s="30"/>
      <c r="AW3" s="29"/>
      <c r="AX3" s="30"/>
      <c r="AY3" s="29"/>
      <c r="AZ3" s="30"/>
      <c r="BA3" s="29"/>
      <c r="BB3" s="30"/>
      <c r="BC3" s="29"/>
      <c r="BD3" s="538" t="s">
        <v>89</v>
      </c>
      <c r="BE3" s="189"/>
      <c r="BF3" s="189"/>
      <c r="BS3" s="538" t="s">
        <v>251</v>
      </c>
      <c r="BX3" s="2"/>
      <c r="BY3" s="2"/>
      <c r="BZ3" s="2"/>
      <c r="CA3" s="2"/>
      <c r="CB3" s="2"/>
      <c r="CC3" s="2"/>
    </row>
    <row r="4" spans="2:81" ht="16.5" customHeight="1" thickBot="1">
      <c r="B4" s="693" t="s">
        <v>22</v>
      </c>
      <c r="C4" s="717" t="s">
        <v>26</v>
      </c>
      <c r="D4" s="718"/>
      <c r="E4" s="718"/>
      <c r="F4" s="719"/>
      <c r="G4" s="85"/>
      <c r="H4" s="717" t="s">
        <v>1</v>
      </c>
      <c r="I4" s="718"/>
      <c r="J4" s="718"/>
      <c r="K4" s="718"/>
      <c r="L4" s="718"/>
      <c r="M4" s="718"/>
      <c r="N4" s="718"/>
      <c r="O4" s="718"/>
      <c r="P4" s="718"/>
      <c r="Q4" s="719"/>
      <c r="R4" s="693" t="s">
        <v>22</v>
      </c>
      <c r="S4" s="717" t="s">
        <v>1</v>
      </c>
      <c r="T4" s="718"/>
      <c r="U4" s="718"/>
      <c r="V4" s="718"/>
      <c r="W4" s="718"/>
      <c r="X4" s="718"/>
      <c r="Y4" s="718"/>
      <c r="Z4" s="718"/>
      <c r="AA4" s="718"/>
      <c r="AB4" s="718"/>
      <c r="AC4" s="718"/>
      <c r="AD4" s="718"/>
      <c r="AE4" s="718"/>
      <c r="AF4" s="718"/>
      <c r="AG4" s="718"/>
      <c r="AH4" s="718"/>
      <c r="AI4" s="718"/>
      <c r="AJ4" s="718"/>
      <c r="AK4" s="718"/>
      <c r="AL4" s="718"/>
      <c r="AM4" s="718"/>
      <c r="AN4" s="718"/>
      <c r="AO4" s="718"/>
      <c r="AP4" s="718"/>
      <c r="AQ4" s="718"/>
      <c r="AR4" s="718"/>
      <c r="AS4" s="750"/>
      <c r="AT4" s="751"/>
      <c r="AU4" s="717" t="s">
        <v>0</v>
      </c>
      <c r="AV4" s="718"/>
      <c r="AW4" s="718"/>
      <c r="AX4" s="718"/>
      <c r="AY4" s="718"/>
      <c r="AZ4" s="718"/>
      <c r="BA4" s="718"/>
      <c r="BB4" s="718"/>
      <c r="BC4" s="718"/>
      <c r="BD4" s="719"/>
      <c r="BE4" s="150"/>
      <c r="BF4" s="150"/>
      <c r="BG4" s="693" t="s">
        <v>22</v>
      </c>
      <c r="BH4" s="717" t="s">
        <v>0</v>
      </c>
      <c r="BI4" s="718"/>
      <c r="BJ4" s="718"/>
      <c r="BK4" s="718"/>
      <c r="BL4" s="718"/>
      <c r="BM4" s="719"/>
      <c r="BN4" s="85"/>
      <c r="BO4" s="745" t="s">
        <v>53</v>
      </c>
      <c r="BP4" s="746"/>
      <c r="BQ4" s="747"/>
      <c r="BR4" s="728" t="s">
        <v>213</v>
      </c>
      <c r="BS4" s="729"/>
      <c r="BT4" s="97"/>
      <c r="BU4" s="97"/>
      <c r="BV4" s="102"/>
      <c r="BW4" s="102"/>
      <c r="BX4" s="102"/>
      <c r="BY4" s="2"/>
      <c r="BZ4" s="2"/>
      <c r="CA4" s="2"/>
      <c r="CB4" s="2"/>
      <c r="CC4" s="2"/>
    </row>
    <row r="5" spans="2:81" ht="26.25" customHeight="1" thickBot="1">
      <c r="B5" s="694"/>
      <c r="C5" s="720" t="s">
        <v>260</v>
      </c>
      <c r="D5" s="721"/>
      <c r="E5" s="720" t="s">
        <v>259</v>
      </c>
      <c r="F5" s="721"/>
      <c r="G5" s="85"/>
      <c r="H5" s="753" t="s">
        <v>228</v>
      </c>
      <c r="I5" s="754"/>
      <c r="J5" s="753" t="s">
        <v>2</v>
      </c>
      <c r="K5" s="754"/>
      <c r="L5" s="753" t="s">
        <v>3</v>
      </c>
      <c r="M5" s="754"/>
      <c r="N5" s="753" t="s">
        <v>247</v>
      </c>
      <c r="O5" s="754"/>
      <c r="P5" s="753" t="s">
        <v>248</v>
      </c>
      <c r="Q5" s="754"/>
      <c r="R5" s="694"/>
      <c r="S5" s="755" t="s">
        <v>4</v>
      </c>
      <c r="T5" s="754"/>
      <c r="U5" s="753" t="s">
        <v>5</v>
      </c>
      <c r="V5" s="754"/>
      <c r="W5" s="748" t="s">
        <v>204</v>
      </c>
      <c r="X5" s="749"/>
      <c r="Y5" s="748" t="s">
        <v>205</v>
      </c>
      <c r="Z5" s="749"/>
      <c r="AA5" s="748" t="s">
        <v>221</v>
      </c>
      <c r="AB5" s="749"/>
      <c r="AC5" s="748" t="s">
        <v>222</v>
      </c>
      <c r="AD5" s="749"/>
      <c r="AE5" s="748" t="s">
        <v>267</v>
      </c>
      <c r="AF5" s="749"/>
      <c r="AG5" s="748" t="s">
        <v>266</v>
      </c>
      <c r="AH5" s="749"/>
      <c r="AI5" s="748" t="s">
        <v>269</v>
      </c>
      <c r="AJ5" s="749"/>
      <c r="AK5" s="735" t="s">
        <v>15</v>
      </c>
      <c r="AL5" s="736"/>
      <c r="AM5" s="735" t="s">
        <v>123</v>
      </c>
      <c r="AN5" s="736"/>
      <c r="AO5" s="735" t="e">
        <f>РОВД!#REF!</f>
        <v>#REF!</v>
      </c>
      <c r="AP5" s="736"/>
      <c r="AQ5" s="735" t="s">
        <v>125</v>
      </c>
      <c r="AR5" s="736"/>
      <c r="AS5" s="748" t="s">
        <v>270</v>
      </c>
      <c r="AT5" s="749"/>
      <c r="AU5" s="671" t="s">
        <v>6</v>
      </c>
      <c r="AV5" s="672"/>
      <c r="AW5" s="671" t="s">
        <v>7</v>
      </c>
      <c r="AX5" s="672"/>
      <c r="AY5" s="734" t="s">
        <v>11</v>
      </c>
      <c r="AZ5" s="670"/>
      <c r="BA5" s="734" t="s">
        <v>12</v>
      </c>
      <c r="BB5" s="670"/>
      <c r="BC5" s="734" t="s">
        <v>5</v>
      </c>
      <c r="BD5" s="670"/>
      <c r="BE5" s="91"/>
      <c r="BF5" s="91"/>
      <c r="BG5" s="694"/>
      <c r="BH5" s="734" t="s">
        <v>8</v>
      </c>
      <c r="BI5" s="670"/>
      <c r="BJ5" s="669" t="s">
        <v>9</v>
      </c>
      <c r="BK5" s="670"/>
      <c r="BL5" s="669" t="s">
        <v>10</v>
      </c>
      <c r="BM5" s="670"/>
      <c r="BN5" s="85"/>
      <c r="BO5" s="35" t="s">
        <v>34</v>
      </c>
      <c r="BP5" s="710" t="s">
        <v>52</v>
      </c>
      <c r="BQ5" s="106" t="s">
        <v>36</v>
      </c>
      <c r="BR5" s="730"/>
      <c r="BS5" s="731"/>
      <c r="BT5" s="49"/>
      <c r="BU5" s="49"/>
      <c r="BV5" s="49"/>
      <c r="BW5" s="49"/>
      <c r="BX5" s="2"/>
      <c r="BY5" s="2"/>
      <c r="BZ5" s="2"/>
      <c r="CA5" s="2"/>
      <c r="CB5" s="2"/>
      <c r="CC5" s="2"/>
    </row>
    <row r="6" spans="2:81" ht="66" customHeight="1" thickBot="1">
      <c r="B6" s="695"/>
      <c r="C6" s="551" t="s">
        <v>261</v>
      </c>
      <c r="D6" s="552" t="s">
        <v>43</v>
      </c>
      <c r="E6" s="553" t="s">
        <v>262</v>
      </c>
      <c r="F6" s="552" t="s">
        <v>43</v>
      </c>
      <c r="G6" s="53"/>
      <c r="H6" s="50" t="s">
        <v>71</v>
      </c>
      <c r="I6" s="33" t="s">
        <v>21</v>
      </c>
      <c r="J6" s="50" t="s">
        <v>225</v>
      </c>
      <c r="K6" s="33" t="s">
        <v>43</v>
      </c>
      <c r="L6" s="32" t="s">
        <v>72</v>
      </c>
      <c r="M6" s="33" t="s">
        <v>43</v>
      </c>
      <c r="N6" s="50" t="s">
        <v>226</v>
      </c>
      <c r="O6" s="51" t="s">
        <v>43</v>
      </c>
      <c r="P6" s="50" t="s">
        <v>227</v>
      </c>
      <c r="Q6" s="51" t="s">
        <v>44</v>
      </c>
      <c r="R6" s="739"/>
      <c r="S6" s="50" t="s">
        <v>62</v>
      </c>
      <c r="T6" s="51" t="s">
        <v>201</v>
      </c>
      <c r="U6" s="50" t="s">
        <v>185</v>
      </c>
      <c r="V6" s="51" t="s">
        <v>201</v>
      </c>
      <c r="W6" s="50" t="s">
        <v>206</v>
      </c>
      <c r="X6" s="51" t="s">
        <v>207</v>
      </c>
      <c r="Y6" s="50" t="s">
        <v>208</v>
      </c>
      <c r="Z6" s="51" t="s">
        <v>207</v>
      </c>
      <c r="AA6" s="50" t="s">
        <v>229</v>
      </c>
      <c r="AB6" s="51" t="s">
        <v>207</v>
      </c>
      <c r="AC6" s="50" t="s">
        <v>230</v>
      </c>
      <c r="AD6" s="51" t="s">
        <v>207</v>
      </c>
      <c r="AE6" s="50" t="s">
        <v>272</v>
      </c>
      <c r="AF6" s="51" t="s">
        <v>44</v>
      </c>
      <c r="AG6" s="50" t="s">
        <v>273</v>
      </c>
      <c r="AH6" s="51" t="s">
        <v>44</v>
      </c>
      <c r="AI6" s="50" t="s">
        <v>275</v>
      </c>
      <c r="AJ6" s="51" t="s">
        <v>21</v>
      </c>
      <c r="AK6" s="535" t="s">
        <v>83</v>
      </c>
      <c r="AL6" s="535" t="s">
        <v>43</v>
      </c>
      <c r="AM6" s="535" t="s">
        <v>124</v>
      </c>
      <c r="AN6" s="535" t="s">
        <v>20</v>
      </c>
      <c r="AO6" s="535" t="s">
        <v>224</v>
      </c>
      <c r="AP6" s="535" t="s">
        <v>18</v>
      </c>
      <c r="AQ6" s="535" t="s">
        <v>126</v>
      </c>
      <c r="AR6" s="535" t="s">
        <v>103</v>
      </c>
      <c r="AS6" s="50" t="s">
        <v>271</v>
      </c>
      <c r="AT6" s="51" t="s">
        <v>17</v>
      </c>
      <c r="AU6" s="557" t="s">
        <v>277</v>
      </c>
      <c r="AV6" s="558" t="s">
        <v>150</v>
      </c>
      <c r="AW6" s="557" t="s">
        <v>278</v>
      </c>
      <c r="AX6" s="558" t="s">
        <v>150</v>
      </c>
      <c r="AY6" s="557" t="s">
        <v>279</v>
      </c>
      <c r="AZ6" s="558" t="s">
        <v>44</v>
      </c>
      <c r="BA6" s="557" t="s">
        <v>280</v>
      </c>
      <c r="BB6" s="558" t="s">
        <v>44</v>
      </c>
      <c r="BC6" s="557" t="s">
        <v>281</v>
      </c>
      <c r="BD6" s="558" t="s">
        <v>45</v>
      </c>
      <c r="BE6" s="28"/>
      <c r="BF6" s="28"/>
      <c r="BG6" s="695"/>
      <c r="BH6" s="557" t="s">
        <v>282</v>
      </c>
      <c r="BI6" s="558" t="s">
        <v>43</v>
      </c>
      <c r="BJ6" s="557" t="s">
        <v>283</v>
      </c>
      <c r="BK6" s="558" t="s">
        <v>17</v>
      </c>
      <c r="BL6" s="557" t="s">
        <v>284</v>
      </c>
      <c r="BM6" s="558" t="s">
        <v>17</v>
      </c>
      <c r="BN6" s="53"/>
      <c r="BO6" s="408" t="s">
        <v>35</v>
      </c>
      <c r="BP6" s="711"/>
      <c r="BQ6" s="267" t="s">
        <v>35</v>
      </c>
      <c r="BR6" s="732"/>
      <c r="BS6" s="733"/>
      <c r="BT6" s="49"/>
      <c r="BU6" s="49"/>
      <c r="BV6" s="49"/>
      <c r="BW6" s="49"/>
      <c r="BX6" s="2"/>
      <c r="BY6" s="2"/>
      <c r="BZ6" s="2"/>
      <c r="CA6" s="2"/>
      <c r="CB6" s="2"/>
      <c r="CC6" s="2"/>
    </row>
    <row r="7" spans="2:81" ht="19.5" customHeight="1">
      <c r="B7" s="37">
        <v>2</v>
      </c>
      <c r="C7" s="173">
        <f>РОВД!I8</f>
        <v>19488.545</v>
      </c>
      <c r="D7" s="174"/>
      <c r="E7" s="175">
        <f>РОВД!K8</f>
        <v>6672.807</v>
      </c>
      <c r="F7" s="176"/>
      <c r="G7" s="53"/>
      <c r="H7" s="285" t="e">
        <f>РОВД!#REF!</f>
        <v>#REF!</v>
      </c>
      <c r="I7" s="180"/>
      <c r="J7" s="285" t="e">
        <f>РОВД!#REF!</f>
        <v>#REF!</v>
      </c>
      <c r="K7" s="180"/>
      <c r="L7" s="285" t="e">
        <f>РОВД!#REF!</f>
        <v>#REF!</v>
      </c>
      <c r="M7" s="180"/>
      <c r="N7" s="285" t="e">
        <f>РОВД!#REF!</f>
        <v>#REF!</v>
      </c>
      <c r="O7" s="180"/>
      <c r="P7" s="285" t="e">
        <f>РОВД!#REF!</f>
        <v>#REF!</v>
      </c>
      <c r="Q7" s="180"/>
      <c r="R7" s="400">
        <v>2</v>
      </c>
      <c r="S7" s="285" t="e">
        <f>РОВД!#REF!</f>
        <v>#REF!</v>
      </c>
      <c r="T7" s="180"/>
      <c r="U7" s="285" t="e">
        <f>РОВД!#REF!</f>
        <v>#REF!</v>
      </c>
      <c r="V7" s="180"/>
      <c r="W7" s="285" t="e">
        <f>РОВД!#REF!</f>
        <v>#REF!</v>
      </c>
      <c r="X7" s="180"/>
      <c r="Y7" s="285" t="e">
        <f>РОВД!#REF!</f>
        <v>#REF!</v>
      </c>
      <c r="Z7" s="180"/>
      <c r="AA7" s="285" t="e">
        <f>РОВД!#REF!</f>
        <v>#REF!</v>
      </c>
      <c r="AB7" s="180"/>
      <c r="AC7" s="285" t="e">
        <f>РОВД!#REF!</f>
        <v>#REF!</v>
      </c>
      <c r="AD7" s="180"/>
      <c r="AE7" s="564" t="e">
        <f>РОВД!#REF!</f>
        <v>#REF!</v>
      </c>
      <c r="AF7" s="600"/>
      <c r="AG7" s="601" t="e">
        <f>РОВД!#REF!</f>
        <v>#REF!</v>
      </c>
      <c r="AH7" s="600"/>
      <c r="AI7" s="564" t="e">
        <f>РОВД!#REF!</f>
        <v>#REF!</v>
      </c>
      <c r="AJ7" s="180"/>
      <c r="AK7" s="285" t="e">
        <f>РОВД!#REF!</f>
        <v>#REF!</v>
      </c>
      <c r="AL7" s="180"/>
      <c r="AM7" s="285" t="e">
        <f>РОВД!#REF!</f>
        <v>#REF!</v>
      </c>
      <c r="AN7" s="180"/>
      <c r="AO7" s="285" t="e">
        <f>РОВД!#REF!</f>
        <v>#REF!</v>
      </c>
      <c r="AP7" s="180"/>
      <c r="AQ7" s="285" t="e">
        <f>РОВД!#REF!</f>
        <v>#REF!</v>
      </c>
      <c r="AR7" s="180"/>
      <c r="AS7" s="601" t="e">
        <f>РОВД!#REF!</f>
        <v>#REF!</v>
      </c>
      <c r="AT7" s="180"/>
      <c r="AU7" s="285" t="e">
        <f>РОВД!#REF!</f>
        <v>#REF!</v>
      </c>
      <c r="AV7" s="180"/>
      <c r="AW7" s="285" t="e">
        <f>РОВД!#REF!</f>
        <v>#REF!</v>
      </c>
      <c r="AX7" s="180"/>
      <c r="AY7" s="285" t="e">
        <f>РОВД!#REF!</f>
        <v>#REF!</v>
      </c>
      <c r="AZ7" s="180"/>
      <c r="BA7" s="285" t="e">
        <f>РОВД!#REF!</f>
        <v>#REF!</v>
      </c>
      <c r="BB7" s="180"/>
      <c r="BC7" s="285" t="e">
        <f>РОВД!#REF!</f>
        <v>#REF!</v>
      </c>
      <c r="BD7" s="180"/>
      <c r="BE7" s="191"/>
      <c r="BF7" s="191"/>
      <c r="BG7" s="67">
        <v>2</v>
      </c>
      <c r="BH7" s="285" t="e">
        <f>РОВД!#REF!</f>
        <v>#REF!</v>
      </c>
      <c r="BI7" s="180"/>
      <c r="BJ7" s="285" t="e">
        <f>РОВД!#REF!</f>
        <v>#REF!</v>
      </c>
      <c r="BK7" s="180"/>
      <c r="BL7" s="285" t="e">
        <f>РОВД!#REF!</f>
        <v>#REF!</v>
      </c>
      <c r="BM7" s="180"/>
      <c r="BN7" s="53"/>
      <c r="BO7" s="602">
        <f>'Лемпино РН-ЮНГ'!C8</f>
        <v>8023.06</v>
      </c>
      <c r="BP7" s="740">
        <v>2400</v>
      </c>
      <c r="BQ7" s="559"/>
      <c r="BR7" s="702"/>
      <c r="BS7" s="703"/>
      <c r="BT7" s="93"/>
      <c r="BU7" s="93"/>
      <c r="BV7" s="93"/>
      <c r="BW7" s="93"/>
      <c r="BX7" s="2"/>
      <c r="BY7" s="2"/>
      <c r="BZ7" s="2"/>
      <c r="CA7" s="2"/>
      <c r="CB7" s="2"/>
      <c r="CC7" s="2"/>
    </row>
    <row r="8" spans="2:81" ht="19.5" customHeight="1">
      <c r="B8" s="42">
        <v>3</v>
      </c>
      <c r="C8" s="173">
        <f>РОВД!I9</f>
        <v>19488.781</v>
      </c>
      <c r="D8" s="178">
        <f>ROUND((C8-C7)*120,0)</f>
        <v>28</v>
      </c>
      <c r="E8" s="175">
        <f>РОВД!K9</f>
        <v>6672.807</v>
      </c>
      <c r="F8" s="179">
        <f>ROUND((E8-E7)*120,0)</f>
        <v>0</v>
      </c>
      <c r="G8" s="53"/>
      <c r="H8" s="395" t="e">
        <f>РОВД!#REF!</f>
        <v>#REF!</v>
      </c>
      <c r="I8" s="179" t="e">
        <f>ROUND((H8-H7)*80,0)</f>
        <v>#REF!</v>
      </c>
      <c r="J8" s="395" t="e">
        <f>РОВД!#REF!</f>
        <v>#REF!</v>
      </c>
      <c r="K8" s="179" t="e">
        <f>ROUND((J8-J7)*120,0)</f>
        <v>#REF!</v>
      </c>
      <c r="L8" s="395" t="e">
        <f>РОВД!#REF!</f>
        <v>#REF!</v>
      </c>
      <c r="M8" s="179" t="e">
        <f>ROUND((L8-L7)*120,0)</f>
        <v>#REF!</v>
      </c>
      <c r="N8" s="395" t="e">
        <f>РОВД!#REF!</f>
        <v>#REF!</v>
      </c>
      <c r="O8" s="179" t="e">
        <f>ROUND((N8-N7)*120,0)</f>
        <v>#REF!</v>
      </c>
      <c r="P8" s="395" t="e">
        <f>РОВД!#REF!</f>
        <v>#REF!</v>
      </c>
      <c r="Q8" s="179" t="e">
        <f>ROUND((P8-P7)*200,0)</f>
        <v>#REF!</v>
      </c>
      <c r="R8" s="401">
        <v>3</v>
      </c>
      <c r="S8" s="395" t="e">
        <f>РОВД!#REF!</f>
        <v>#REF!</v>
      </c>
      <c r="T8" s="179" t="e">
        <f>ROUND((S8-S7)*160,0)</f>
        <v>#REF!</v>
      </c>
      <c r="U8" s="395" t="e">
        <f>РОВД!#REF!</f>
        <v>#REF!</v>
      </c>
      <c r="V8" s="179" t="e">
        <f>ROUND((U8-U7)*160,0)</f>
        <v>#REF!</v>
      </c>
      <c r="W8" s="395" t="e">
        <f>РОВД!#REF!</f>
        <v>#REF!</v>
      </c>
      <c r="X8" s="179" t="e">
        <f>ROUND((W8-W7)*300,0)</f>
        <v>#REF!</v>
      </c>
      <c r="Y8" s="395" t="e">
        <f>РОВД!#REF!</f>
        <v>#REF!</v>
      </c>
      <c r="Z8" s="179" t="e">
        <f>ROUND((Y8-Y7)*300,0)</f>
        <v>#REF!</v>
      </c>
      <c r="AA8" s="395" t="e">
        <f>РОВД!#REF!</f>
        <v>#REF!</v>
      </c>
      <c r="AB8" s="179" t="e">
        <f>ROUND((AA8-AA7)*300,0)</f>
        <v>#REF!</v>
      </c>
      <c r="AC8" s="395" t="e">
        <f>РОВД!#REF!</f>
        <v>#REF!</v>
      </c>
      <c r="AD8" s="179" t="e">
        <f>ROUND((AC8-AC7)*300,0)</f>
        <v>#REF!</v>
      </c>
      <c r="AE8" s="596" t="e">
        <f>РОВД!#REF!</f>
        <v>#REF!</v>
      </c>
      <c r="AF8" s="597" t="e">
        <f>ROUND((AE8-AE7)*200,0)</f>
        <v>#REF!</v>
      </c>
      <c r="AG8" s="598" t="e">
        <f>РОВД!#REF!</f>
        <v>#REF!</v>
      </c>
      <c r="AH8" s="597" t="e">
        <f>ROUND((AG8-AG7)*200,0)</f>
        <v>#REF!</v>
      </c>
      <c r="AI8" s="598" t="e">
        <f>РОВД!#REF!</f>
        <v>#REF!</v>
      </c>
      <c r="AJ8" s="179" t="e">
        <f>ROUND((AI8-AI7)*80,0)</f>
        <v>#REF!</v>
      </c>
      <c r="AK8" s="395" t="e">
        <f>РОВД!#REF!</f>
        <v>#REF!</v>
      </c>
      <c r="AL8" s="179" t="e">
        <f>ROUND((AK8-AK7)*120,0)</f>
        <v>#REF!</v>
      </c>
      <c r="AM8" s="395" t="e">
        <f>РОВД!#REF!</f>
        <v>#REF!</v>
      </c>
      <c r="AN8" s="179" t="e">
        <f>ROUND((AM8-AM7)*40,0)</f>
        <v>#REF!</v>
      </c>
      <c r="AO8" s="395" t="e">
        <f>РОВД!#REF!</f>
        <v>#REF!</v>
      </c>
      <c r="AP8" s="179" t="e">
        <f>ROUND((AO8-AO7)*1,0)</f>
        <v>#REF!</v>
      </c>
      <c r="AQ8" s="395" t="e">
        <f>РОВД!#REF!</f>
        <v>#REF!</v>
      </c>
      <c r="AR8" s="179" t="e">
        <f aca="true" t="shared" si="0" ref="AR8:AR31">ROUND((AQ8-AQ7)*20,0)</f>
        <v>#REF!</v>
      </c>
      <c r="AS8" s="598" t="e">
        <f>РОВД!#REF!</f>
        <v>#REF!</v>
      </c>
      <c r="AT8" s="179" t="e">
        <f>ROUND((AS8-AS7)*30,0)</f>
        <v>#REF!</v>
      </c>
      <c r="AU8" s="395" t="e">
        <f>РОВД!#REF!</f>
        <v>#REF!</v>
      </c>
      <c r="AV8" s="179" t="e">
        <f>ROUND((AU8-AU7)*120,0)</f>
        <v>#REF!</v>
      </c>
      <c r="AW8" s="395" t="e">
        <f>РОВД!#REF!</f>
        <v>#REF!</v>
      </c>
      <c r="AX8" s="179" t="e">
        <f>ROUND((AW8-AW7)*120,0)</f>
        <v>#REF!</v>
      </c>
      <c r="AY8" s="395" t="e">
        <f>РОВД!#REF!</f>
        <v>#REF!</v>
      </c>
      <c r="AZ8" s="179" t="e">
        <f>ROUND((AY8-AY7)*200,0)</f>
        <v>#REF!</v>
      </c>
      <c r="BA8" s="395" t="e">
        <f>РОВД!#REF!</f>
        <v>#REF!</v>
      </c>
      <c r="BB8" s="179" t="e">
        <f>ROUND((BA8-BA7)*200,0)</f>
        <v>#REF!</v>
      </c>
      <c r="BC8" s="395" t="e">
        <f>РОВД!#REF!</f>
        <v>#REF!</v>
      </c>
      <c r="BD8" s="179" t="e">
        <f>ROUND((BC8-BC7)*60,0)</f>
        <v>#REF!</v>
      </c>
      <c r="BE8" s="190"/>
      <c r="BF8" s="190"/>
      <c r="BG8" s="405">
        <v>3</v>
      </c>
      <c r="BH8" s="395" t="e">
        <f>РОВД!#REF!</f>
        <v>#REF!</v>
      </c>
      <c r="BI8" s="179" t="e">
        <f>ROUND((BH8-BH7)*120,0)</f>
        <v>#REF!</v>
      </c>
      <c r="BJ8" s="395" t="e">
        <f>РОВД!#REF!</f>
        <v>#REF!</v>
      </c>
      <c r="BK8" s="179" t="e">
        <f>ROUND((BJ8-BJ7)*30,0)</f>
        <v>#REF!</v>
      </c>
      <c r="BL8" s="395" t="e">
        <f>РОВД!#REF!</f>
        <v>#REF!</v>
      </c>
      <c r="BM8" s="179" t="e">
        <f>ROUND((BL8-BL7)*20,0)</f>
        <v>#REF!</v>
      </c>
      <c r="BN8" s="53"/>
      <c r="BO8" s="603">
        <f>'Лемпино РН-ЮНГ'!C9</f>
        <v>8023.13</v>
      </c>
      <c r="BP8" s="741"/>
      <c r="BQ8" s="605">
        <f>'Лемпино РН-ЮНГ'!E9</f>
        <v>168</v>
      </c>
      <c r="BR8" s="723" t="e">
        <f>D8+F8+I8+K8+M8+O8+Q8+T8+V8+X8+Z8+AB8+AD8+AF8+AH8+AJ8+AL8+AP8+BB8+BD8+BI8+BK8+BM8+BQ8+AN8+AR8+AT8+AV8+AX8+AZ8</f>
        <v>#REF!</v>
      </c>
      <c r="BS8" s="724"/>
      <c r="BT8" s="93"/>
      <c r="BU8" s="93"/>
      <c r="BV8" s="93"/>
      <c r="BW8" s="93"/>
      <c r="BX8" s="2"/>
      <c r="BY8" s="2"/>
      <c r="BZ8" s="160"/>
      <c r="CA8" s="2"/>
      <c r="CB8" s="2"/>
      <c r="CC8" s="160"/>
    </row>
    <row r="9" spans="2:81" ht="19.5" customHeight="1">
      <c r="B9" s="70">
        <v>4</v>
      </c>
      <c r="C9" s="173">
        <f>РОВД!I10</f>
        <v>19489.021</v>
      </c>
      <c r="D9" s="178">
        <f aca="true" t="shared" si="1" ref="D9:D31">ROUND((C9-C8)*120,0)</f>
        <v>29</v>
      </c>
      <c r="E9" s="175">
        <f>РОВД!K10</f>
        <v>6672.807</v>
      </c>
      <c r="F9" s="179">
        <f aca="true" t="shared" si="2" ref="F9:F31">ROUND((E9-E8)*120,0)</f>
        <v>0</v>
      </c>
      <c r="G9" s="53"/>
      <c r="H9" s="395" t="e">
        <f>РОВД!#REF!</f>
        <v>#REF!</v>
      </c>
      <c r="I9" s="179" t="e">
        <f aca="true" t="shared" si="3" ref="I9:I31">ROUND((H9-H8)*80,0)</f>
        <v>#REF!</v>
      </c>
      <c r="J9" s="395" t="e">
        <f>РОВД!#REF!</f>
        <v>#REF!</v>
      </c>
      <c r="K9" s="179" t="e">
        <f aca="true" t="shared" si="4" ref="K9:K31">ROUND((J9-J8)*120,0)</f>
        <v>#REF!</v>
      </c>
      <c r="L9" s="395" t="e">
        <f>РОВД!#REF!</f>
        <v>#REF!</v>
      </c>
      <c r="M9" s="179" t="e">
        <f aca="true" t="shared" si="5" ref="M9:M31">ROUND((L9-L8)*120,0)</f>
        <v>#REF!</v>
      </c>
      <c r="N9" s="395" t="e">
        <f>РОВД!#REF!</f>
        <v>#REF!</v>
      </c>
      <c r="O9" s="179" t="e">
        <f aca="true" t="shared" si="6" ref="O9:O30">ROUND((N9-N8)*120,0)</f>
        <v>#REF!</v>
      </c>
      <c r="P9" s="395" t="e">
        <f>РОВД!#REF!</f>
        <v>#REF!</v>
      </c>
      <c r="Q9" s="179" t="e">
        <f aca="true" t="shared" si="7" ref="Q9:Q31">ROUND((P9-P8)*200,0)</f>
        <v>#REF!</v>
      </c>
      <c r="R9" s="402">
        <v>4</v>
      </c>
      <c r="S9" s="395" t="e">
        <f>РОВД!#REF!</f>
        <v>#REF!</v>
      </c>
      <c r="T9" s="179" t="e">
        <f aca="true" t="shared" si="8" ref="T9:T31">ROUND((S9-S8)*160,0)</f>
        <v>#REF!</v>
      </c>
      <c r="U9" s="395" t="e">
        <f>РОВД!#REF!</f>
        <v>#REF!</v>
      </c>
      <c r="V9" s="179" t="e">
        <f aca="true" t="shared" si="9" ref="V9:V31">ROUND((U9-U8)*160,0)</f>
        <v>#REF!</v>
      </c>
      <c r="W9" s="395" t="e">
        <f>РОВД!#REF!</f>
        <v>#REF!</v>
      </c>
      <c r="X9" s="179" t="e">
        <f aca="true" t="shared" si="10" ref="X9:X31">ROUND((W9-W8)*300,0)</f>
        <v>#REF!</v>
      </c>
      <c r="Y9" s="395" t="e">
        <f>РОВД!#REF!</f>
        <v>#REF!</v>
      </c>
      <c r="Z9" s="179" t="e">
        <f aca="true" t="shared" si="11" ref="Z9:Z31">ROUND((Y9-Y8)*300,0)</f>
        <v>#REF!</v>
      </c>
      <c r="AA9" s="395" t="e">
        <f>РОВД!#REF!</f>
        <v>#REF!</v>
      </c>
      <c r="AB9" s="179" t="e">
        <f aca="true" t="shared" si="12" ref="AB9:AB31">ROUND((AA9-AA8)*300,0)</f>
        <v>#REF!</v>
      </c>
      <c r="AC9" s="395" t="e">
        <f>РОВД!#REF!</f>
        <v>#REF!</v>
      </c>
      <c r="AD9" s="179" t="e">
        <f aca="true" t="shared" si="13" ref="AD9:AD31">ROUND((AC9-AC8)*300,0)</f>
        <v>#REF!</v>
      </c>
      <c r="AE9" s="596" t="e">
        <f>РОВД!#REF!</f>
        <v>#REF!</v>
      </c>
      <c r="AF9" s="597" t="e">
        <f aca="true" t="shared" si="14" ref="AF9:AH31">ROUND((AE9-AE8)*200,0)</f>
        <v>#REF!</v>
      </c>
      <c r="AG9" s="598" t="e">
        <f>РОВД!#REF!</f>
        <v>#REF!</v>
      </c>
      <c r="AH9" s="597" t="e">
        <f t="shared" si="14"/>
        <v>#REF!</v>
      </c>
      <c r="AI9" s="598" t="e">
        <f>РОВД!#REF!</f>
        <v>#REF!</v>
      </c>
      <c r="AJ9" s="179" t="e">
        <f aca="true" t="shared" si="15" ref="AJ9:AJ30">ROUND((AI9-AI8)*80,0)</f>
        <v>#REF!</v>
      </c>
      <c r="AK9" s="395" t="e">
        <f>РОВД!#REF!</f>
        <v>#REF!</v>
      </c>
      <c r="AL9" s="179" t="e">
        <f aca="true" t="shared" si="16" ref="AL9:AL31">ROUND((AK9-AK8)*120,0)</f>
        <v>#REF!</v>
      </c>
      <c r="AM9" s="395" t="e">
        <f>РОВД!#REF!</f>
        <v>#REF!</v>
      </c>
      <c r="AN9" s="179" t="e">
        <f aca="true" t="shared" si="17" ref="AN9:AN31">ROUND((AM9-AM8)*40,0)</f>
        <v>#REF!</v>
      </c>
      <c r="AO9" s="395" t="e">
        <f>РОВД!#REF!</f>
        <v>#REF!</v>
      </c>
      <c r="AP9" s="179" t="e">
        <f aca="true" t="shared" si="18" ref="AP9:AP31">ROUND((AO9-AO8)*1,0)</f>
        <v>#REF!</v>
      </c>
      <c r="AQ9" s="395" t="e">
        <f>РОВД!#REF!</f>
        <v>#REF!</v>
      </c>
      <c r="AR9" s="179" t="e">
        <f t="shared" si="0"/>
        <v>#REF!</v>
      </c>
      <c r="AS9" s="598" t="e">
        <f>РОВД!#REF!</f>
        <v>#REF!</v>
      </c>
      <c r="AT9" s="179" t="e">
        <f aca="true" t="shared" si="19" ref="AT9:AT31">ROUND((AS9-AS8)*30,0)</f>
        <v>#REF!</v>
      </c>
      <c r="AU9" s="395" t="e">
        <f>РОВД!#REF!</f>
        <v>#REF!</v>
      </c>
      <c r="AV9" s="179" t="e">
        <f aca="true" t="shared" si="20" ref="AV9:AV31">ROUND((AU9-AU8)*120,0)</f>
        <v>#REF!</v>
      </c>
      <c r="AW9" s="395" t="e">
        <f>РОВД!#REF!</f>
        <v>#REF!</v>
      </c>
      <c r="AX9" s="179" t="e">
        <f aca="true" t="shared" si="21" ref="AX9:AX31">ROUND((AW9-AW8)*120,0)</f>
        <v>#REF!</v>
      </c>
      <c r="AY9" s="395" t="e">
        <f>РОВД!#REF!</f>
        <v>#REF!</v>
      </c>
      <c r="AZ9" s="179" t="e">
        <f aca="true" t="shared" si="22" ref="AZ9:AZ31">ROUND((AY9-AY8)*200,0)</f>
        <v>#REF!</v>
      </c>
      <c r="BA9" s="395" t="e">
        <f>РОВД!#REF!</f>
        <v>#REF!</v>
      </c>
      <c r="BB9" s="179" t="e">
        <f aca="true" t="shared" si="23" ref="BB9:BB31">ROUND((BA9-BA8)*200,0)</f>
        <v>#REF!</v>
      </c>
      <c r="BC9" s="395" t="e">
        <f>РОВД!#REF!</f>
        <v>#REF!</v>
      </c>
      <c r="BD9" s="179" t="e">
        <f aca="true" t="shared" si="24" ref="BD9:BD31">ROUND((BC9-BC8)*60,0)</f>
        <v>#REF!</v>
      </c>
      <c r="BE9" s="190"/>
      <c r="BF9" s="190"/>
      <c r="BG9" s="406">
        <v>4</v>
      </c>
      <c r="BH9" s="395" t="e">
        <f>РОВД!#REF!</f>
        <v>#REF!</v>
      </c>
      <c r="BI9" s="179" t="e">
        <f aca="true" t="shared" si="25" ref="BI9:BI31">ROUND((BH9-BH8)*120,0)</f>
        <v>#REF!</v>
      </c>
      <c r="BJ9" s="395" t="e">
        <f>РОВД!#REF!</f>
        <v>#REF!</v>
      </c>
      <c r="BK9" s="179" t="e">
        <f>ROUND((BJ9-BJ8)*30,0)</f>
        <v>#REF!</v>
      </c>
      <c r="BL9" s="395" t="e">
        <f>РОВД!#REF!</f>
        <v>#REF!</v>
      </c>
      <c r="BM9" s="179" t="e">
        <f aca="true" t="shared" si="26" ref="BM9:BM31">ROUND((BL9-BL8)*20,0)</f>
        <v>#REF!</v>
      </c>
      <c r="BN9" s="53"/>
      <c r="BO9" s="603">
        <f>'Лемпино РН-ЮНГ'!C10</f>
        <v>8023.2</v>
      </c>
      <c r="BP9" s="741"/>
      <c r="BQ9" s="605">
        <f>'Лемпино РН-ЮНГ'!E10</f>
        <v>168</v>
      </c>
      <c r="BR9" s="723" t="e">
        <f aca="true" t="shared" si="27" ref="BR9:BR30">D9+F9+I9+K9+M9+O9+Q9+T9+V9+X9+Z9+AB9+AD9+AF9+AH9+AJ9+AL9+AP9+BB9+BD9+BI9+BK9+BM9+BQ9+AN9+AR9+AT9+AV9+AX9+AZ9</f>
        <v>#REF!</v>
      </c>
      <c r="BS9" s="724"/>
      <c r="BT9" s="93"/>
      <c r="BU9" s="93"/>
      <c r="BV9" s="93"/>
      <c r="BW9" s="93"/>
      <c r="BX9" s="2"/>
      <c r="BY9" s="2"/>
      <c r="BZ9" s="160"/>
      <c r="CA9" s="2"/>
      <c r="CB9" s="2"/>
      <c r="CC9" s="160"/>
    </row>
    <row r="10" spans="2:81" ht="19.5" customHeight="1">
      <c r="B10" s="70">
        <v>5</v>
      </c>
      <c r="C10" s="173">
        <f>РОВД!I11</f>
        <v>19489.252</v>
      </c>
      <c r="D10" s="178">
        <f t="shared" si="1"/>
        <v>28</v>
      </c>
      <c r="E10" s="175">
        <f>РОВД!K11</f>
        <v>6672.807</v>
      </c>
      <c r="F10" s="179">
        <f t="shared" si="2"/>
        <v>0</v>
      </c>
      <c r="G10" s="53"/>
      <c r="H10" s="395" t="e">
        <f>РОВД!#REF!</f>
        <v>#REF!</v>
      </c>
      <c r="I10" s="179" t="e">
        <f t="shared" si="3"/>
        <v>#REF!</v>
      </c>
      <c r="J10" s="395" t="e">
        <f>РОВД!#REF!</f>
        <v>#REF!</v>
      </c>
      <c r="K10" s="179" t="e">
        <f t="shared" si="4"/>
        <v>#REF!</v>
      </c>
      <c r="L10" s="395" t="e">
        <f>РОВД!#REF!</f>
        <v>#REF!</v>
      </c>
      <c r="M10" s="179" t="e">
        <f t="shared" si="5"/>
        <v>#REF!</v>
      </c>
      <c r="N10" s="395" t="e">
        <f>РОВД!#REF!</f>
        <v>#REF!</v>
      </c>
      <c r="O10" s="179" t="e">
        <f t="shared" si="6"/>
        <v>#REF!</v>
      </c>
      <c r="P10" s="395" t="e">
        <f>РОВД!#REF!</f>
        <v>#REF!</v>
      </c>
      <c r="Q10" s="179" t="e">
        <f t="shared" si="7"/>
        <v>#REF!</v>
      </c>
      <c r="R10" s="402">
        <v>5</v>
      </c>
      <c r="S10" s="395" t="e">
        <f>РОВД!#REF!</f>
        <v>#REF!</v>
      </c>
      <c r="T10" s="179" t="e">
        <f t="shared" si="8"/>
        <v>#REF!</v>
      </c>
      <c r="U10" s="395" t="e">
        <f>РОВД!#REF!</f>
        <v>#REF!</v>
      </c>
      <c r="V10" s="179" t="e">
        <f t="shared" si="9"/>
        <v>#REF!</v>
      </c>
      <c r="W10" s="395" t="e">
        <f>РОВД!#REF!</f>
        <v>#REF!</v>
      </c>
      <c r="X10" s="179" t="e">
        <f t="shared" si="10"/>
        <v>#REF!</v>
      </c>
      <c r="Y10" s="395" t="e">
        <f>РОВД!#REF!</f>
        <v>#REF!</v>
      </c>
      <c r="Z10" s="179" t="e">
        <f t="shared" si="11"/>
        <v>#REF!</v>
      </c>
      <c r="AA10" s="395" t="e">
        <f>РОВД!#REF!</f>
        <v>#REF!</v>
      </c>
      <c r="AB10" s="179" t="e">
        <f t="shared" si="12"/>
        <v>#REF!</v>
      </c>
      <c r="AC10" s="395" t="e">
        <f>РОВД!#REF!</f>
        <v>#REF!</v>
      </c>
      <c r="AD10" s="179" t="e">
        <f t="shared" si="13"/>
        <v>#REF!</v>
      </c>
      <c r="AE10" s="596" t="e">
        <f>РОВД!#REF!</f>
        <v>#REF!</v>
      </c>
      <c r="AF10" s="597" t="e">
        <f t="shared" si="14"/>
        <v>#REF!</v>
      </c>
      <c r="AG10" s="598" t="e">
        <f>РОВД!#REF!</f>
        <v>#REF!</v>
      </c>
      <c r="AH10" s="597" t="e">
        <f t="shared" si="14"/>
        <v>#REF!</v>
      </c>
      <c r="AI10" s="598" t="e">
        <f>РОВД!#REF!</f>
        <v>#REF!</v>
      </c>
      <c r="AJ10" s="179" t="e">
        <f t="shared" si="15"/>
        <v>#REF!</v>
      </c>
      <c r="AK10" s="395" t="e">
        <f>РОВД!#REF!</f>
        <v>#REF!</v>
      </c>
      <c r="AL10" s="179" t="e">
        <f t="shared" si="16"/>
        <v>#REF!</v>
      </c>
      <c r="AM10" s="395" t="e">
        <f>РОВД!#REF!</f>
        <v>#REF!</v>
      </c>
      <c r="AN10" s="179" t="e">
        <f t="shared" si="17"/>
        <v>#REF!</v>
      </c>
      <c r="AO10" s="395" t="e">
        <f>РОВД!#REF!</f>
        <v>#REF!</v>
      </c>
      <c r="AP10" s="179" t="e">
        <f t="shared" si="18"/>
        <v>#REF!</v>
      </c>
      <c r="AQ10" s="395" t="e">
        <f>РОВД!#REF!</f>
        <v>#REF!</v>
      </c>
      <c r="AR10" s="179" t="e">
        <f t="shared" si="0"/>
        <v>#REF!</v>
      </c>
      <c r="AS10" s="598" t="e">
        <f>РОВД!#REF!</f>
        <v>#REF!</v>
      </c>
      <c r="AT10" s="179" t="e">
        <f t="shared" si="19"/>
        <v>#REF!</v>
      </c>
      <c r="AU10" s="395" t="e">
        <f>РОВД!#REF!</f>
        <v>#REF!</v>
      </c>
      <c r="AV10" s="179" t="e">
        <f t="shared" si="20"/>
        <v>#REF!</v>
      </c>
      <c r="AW10" s="395" t="e">
        <f>РОВД!#REF!</f>
        <v>#REF!</v>
      </c>
      <c r="AX10" s="179" t="e">
        <f t="shared" si="21"/>
        <v>#REF!</v>
      </c>
      <c r="AY10" s="395" t="e">
        <f>РОВД!#REF!</f>
        <v>#REF!</v>
      </c>
      <c r="AZ10" s="179" t="e">
        <f t="shared" si="22"/>
        <v>#REF!</v>
      </c>
      <c r="BA10" s="395" t="e">
        <f>РОВД!#REF!</f>
        <v>#REF!</v>
      </c>
      <c r="BB10" s="179" t="e">
        <f t="shared" si="23"/>
        <v>#REF!</v>
      </c>
      <c r="BC10" s="395" t="e">
        <f>РОВД!#REF!</f>
        <v>#REF!</v>
      </c>
      <c r="BD10" s="179" t="e">
        <f t="shared" si="24"/>
        <v>#REF!</v>
      </c>
      <c r="BE10" s="190"/>
      <c r="BF10" s="190"/>
      <c r="BG10" s="406">
        <v>5</v>
      </c>
      <c r="BH10" s="395" t="e">
        <f>РОВД!#REF!</f>
        <v>#REF!</v>
      </c>
      <c r="BI10" s="179" t="e">
        <f t="shared" si="25"/>
        <v>#REF!</v>
      </c>
      <c r="BJ10" s="395" t="e">
        <f>РОВД!#REF!</f>
        <v>#REF!</v>
      </c>
      <c r="BK10" s="179" t="e">
        <f aca="true" t="shared" si="28" ref="BK10:BK31">ROUND((BJ10-BJ9)*30,0)</f>
        <v>#REF!</v>
      </c>
      <c r="BL10" s="395" t="e">
        <f>РОВД!#REF!</f>
        <v>#REF!</v>
      </c>
      <c r="BM10" s="179" t="e">
        <f t="shared" si="26"/>
        <v>#REF!</v>
      </c>
      <c r="BN10" s="53"/>
      <c r="BO10" s="603">
        <f>'Лемпино РН-ЮНГ'!C11</f>
        <v>8023.25</v>
      </c>
      <c r="BP10" s="741"/>
      <c r="BQ10" s="605">
        <f>'Лемпино РН-ЮНГ'!E11</f>
        <v>120</v>
      </c>
      <c r="BR10" s="723" t="e">
        <f t="shared" si="27"/>
        <v>#REF!</v>
      </c>
      <c r="BS10" s="724"/>
      <c r="BT10" s="93"/>
      <c r="BU10" s="93"/>
      <c r="BV10" s="93"/>
      <c r="BW10" s="93"/>
      <c r="BX10" s="2"/>
      <c r="BY10" s="2"/>
      <c r="BZ10" s="160"/>
      <c r="CA10" s="2"/>
      <c r="CB10" s="2"/>
      <c r="CC10" s="160"/>
    </row>
    <row r="11" spans="2:81" ht="19.5" customHeight="1">
      <c r="B11" s="70">
        <v>6</v>
      </c>
      <c r="C11" s="173">
        <f>РОВД!I12</f>
        <v>19489.482</v>
      </c>
      <c r="D11" s="178">
        <f t="shared" si="1"/>
        <v>28</v>
      </c>
      <c r="E11" s="175">
        <f>РОВД!K12</f>
        <v>6672.807</v>
      </c>
      <c r="F11" s="179">
        <f t="shared" si="2"/>
        <v>0</v>
      </c>
      <c r="G11" s="53"/>
      <c r="H11" s="395" t="e">
        <f>РОВД!#REF!</f>
        <v>#REF!</v>
      </c>
      <c r="I11" s="179" t="e">
        <f t="shared" si="3"/>
        <v>#REF!</v>
      </c>
      <c r="J11" s="395" t="e">
        <f>РОВД!#REF!</f>
        <v>#REF!</v>
      </c>
      <c r="K11" s="179" t="e">
        <f t="shared" si="4"/>
        <v>#REF!</v>
      </c>
      <c r="L11" s="395" t="e">
        <f>РОВД!#REF!</f>
        <v>#REF!</v>
      </c>
      <c r="M11" s="179" t="e">
        <f t="shared" si="5"/>
        <v>#REF!</v>
      </c>
      <c r="N11" s="395" t="e">
        <f>РОВД!#REF!</f>
        <v>#REF!</v>
      </c>
      <c r="O11" s="179" t="e">
        <f t="shared" si="6"/>
        <v>#REF!</v>
      </c>
      <c r="P11" s="395" t="e">
        <f>РОВД!#REF!</f>
        <v>#REF!</v>
      </c>
      <c r="Q11" s="179" t="e">
        <f t="shared" si="7"/>
        <v>#REF!</v>
      </c>
      <c r="R11" s="402">
        <v>6</v>
      </c>
      <c r="S11" s="395" t="e">
        <f>РОВД!#REF!</f>
        <v>#REF!</v>
      </c>
      <c r="T11" s="179" t="e">
        <f t="shared" si="8"/>
        <v>#REF!</v>
      </c>
      <c r="U11" s="395" t="e">
        <f>РОВД!#REF!</f>
        <v>#REF!</v>
      </c>
      <c r="V11" s="179" t="e">
        <f t="shared" si="9"/>
        <v>#REF!</v>
      </c>
      <c r="W11" s="395" t="e">
        <f>РОВД!#REF!</f>
        <v>#REF!</v>
      </c>
      <c r="X11" s="179" t="e">
        <f t="shared" si="10"/>
        <v>#REF!</v>
      </c>
      <c r="Y11" s="395" t="e">
        <f>РОВД!#REF!</f>
        <v>#REF!</v>
      </c>
      <c r="Z11" s="179" t="e">
        <f t="shared" si="11"/>
        <v>#REF!</v>
      </c>
      <c r="AA11" s="395" t="e">
        <f>РОВД!#REF!</f>
        <v>#REF!</v>
      </c>
      <c r="AB11" s="179" t="e">
        <f t="shared" si="12"/>
        <v>#REF!</v>
      </c>
      <c r="AC11" s="395" t="e">
        <f>РОВД!#REF!</f>
        <v>#REF!</v>
      </c>
      <c r="AD11" s="179" t="e">
        <f t="shared" si="13"/>
        <v>#REF!</v>
      </c>
      <c r="AE11" s="596" t="e">
        <f>РОВД!#REF!</f>
        <v>#REF!</v>
      </c>
      <c r="AF11" s="597" t="e">
        <f t="shared" si="14"/>
        <v>#REF!</v>
      </c>
      <c r="AG11" s="598" t="e">
        <f>РОВД!#REF!</f>
        <v>#REF!</v>
      </c>
      <c r="AH11" s="597" t="e">
        <f t="shared" si="14"/>
        <v>#REF!</v>
      </c>
      <c r="AI11" s="598" t="e">
        <f>РОВД!#REF!</f>
        <v>#REF!</v>
      </c>
      <c r="AJ11" s="179" t="e">
        <f t="shared" si="15"/>
        <v>#REF!</v>
      </c>
      <c r="AK11" s="395" t="e">
        <f>РОВД!#REF!</f>
        <v>#REF!</v>
      </c>
      <c r="AL11" s="179" t="e">
        <f t="shared" si="16"/>
        <v>#REF!</v>
      </c>
      <c r="AM11" s="395" t="e">
        <f>РОВД!#REF!</f>
        <v>#REF!</v>
      </c>
      <c r="AN11" s="179" t="e">
        <f t="shared" si="17"/>
        <v>#REF!</v>
      </c>
      <c r="AO11" s="395" t="e">
        <f>РОВД!#REF!</f>
        <v>#REF!</v>
      </c>
      <c r="AP11" s="179" t="e">
        <f t="shared" si="18"/>
        <v>#REF!</v>
      </c>
      <c r="AQ11" s="395" t="e">
        <f>РОВД!#REF!</f>
        <v>#REF!</v>
      </c>
      <c r="AR11" s="179" t="e">
        <f t="shared" si="0"/>
        <v>#REF!</v>
      </c>
      <c r="AS11" s="598" t="e">
        <f>РОВД!#REF!</f>
        <v>#REF!</v>
      </c>
      <c r="AT11" s="179" t="e">
        <f t="shared" si="19"/>
        <v>#REF!</v>
      </c>
      <c r="AU11" s="395" t="e">
        <f>РОВД!#REF!</f>
        <v>#REF!</v>
      </c>
      <c r="AV11" s="179" t="e">
        <f t="shared" si="20"/>
        <v>#REF!</v>
      </c>
      <c r="AW11" s="395" t="e">
        <f>РОВД!#REF!</f>
        <v>#REF!</v>
      </c>
      <c r="AX11" s="179" t="e">
        <f t="shared" si="21"/>
        <v>#REF!</v>
      </c>
      <c r="AY11" s="395" t="e">
        <f>РОВД!#REF!</f>
        <v>#REF!</v>
      </c>
      <c r="AZ11" s="179" t="e">
        <f t="shared" si="22"/>
        <v>#REF!</v>
      </c>
      <c r="BA11" s="395" t="e">
        <f>РОВД!#REF!</f>
        <v>#REF!</v>
      </c>
      <c r="BB11" s="179" t="e">
        <f t="shared" si="23"/>
        <v>#REF!</v>
      </c>
      <c r="BC11" s="395" t="e">
        <f>РОВД!#REF!</f>
        <v>#REF!</v>
      </c>
      <c r="BD11" s="179" t="e">
        <f t="shared" si="24"/>
        <v>#REF!</v>
      </c>
      <c r="BE11" s="190"/>
      <c r="BF11" s="190"/>
      <c r="BG11" s="406">
        <v>6</v>
      </c>
      <c r="BH11" s="395" t="e">
        <f>РОВД!#REF!</f>
        <v>#REF!</v>
      </c>
      <c r="BI11" s="179" t="e">
        <f t="shared" si="25"/>
        <v>#REF!</v>
      </c>
      <c r="BJ11" s="395" t="e">
        <f>РОВД!#REF!</f>
        <v>#REF!</v>
      </c>
      <c r="BK11" s="179" t="e">
        <f t="shared" si="28"/>
        <v>#REF!</v>
      </c>
      <c r="BL11" s="395" t="e">
        <f>РОВД!#REF!</f>
        <v>#REF!</v>
      </c>
      <c r="BM11" s="179" t="e">
        <f t="shared" si="26"/>
        <v>#REF!</v>
      </c>
      <c r="BN11" s="53"/>
      <c r="BO11" s="603">
        <f>'Лемпино РН-ЮНГ'!C12</f>
        <v>8023.3</v>
      </c>
      <c r="BP11" s="741"/>
      <c r="BQ11" s="605">
        <f>'Лемпино РН-ЮНГ'!E12</f>
        <v>120</v>
      </c>
      <c r="BR11" s="723" t="e">
        <f t="shared" si="27"/>
        <v>#REF!</v>
      </c>
      <c r="BS11" s="724"/>
      <c r="BT11" s="93"/>
      <c r="BU11" s="93"/>
      <c r="BV11" s="93"/>
      <c r="BW11" s="93"/>
      <c r="BX11" s="2"/>
      <c r="BY11" s="2"/>
      <c r="BZ11" s="160"/>
      <c r="CA11" s="2"/>
      <c r="CB11" s="2"/>
      <c r="CC11" s="160"/>
    </row>
    <row r="12" spans="2:81" ht="19.5" customHeight="1">
      <c r="B12" s="70">
        <v>7</v>
      </c>
      <c r="C12" s="173">
        <f>РОВД!I13</f>
        <v>19489.713</v>
      </c>
      <c r="D12" s="178">
        <f t="shared" si="1"/>
        <v>28</v>
      </c>
      <c r="E12" s="175">
        <f>РОВД!K13</f>
        <v>6672.807</v>
      </c>
      <c r="F12" s="179">
        <f t="shared" si="2"/>
        <v>0</v>
      </c>
      <c r="G12" s="53"/>
      <c r="H12" s="395" t="e">
        <f>РОВД!#REF!</f>
        <v>#REF!</v>
      </c>
      <c r="I12" s="179" t="e">
        <f t="shared" si="3"/>
        <v>#REF!</v>
      </c>
      <c r="J12" s="395" t="e">
        <f>РОВД!#REF!</f>
        <v>#REF!</v>
      </c>
      <c r="K12" s="179" t="e">
        <f t="shared" si="4"/>
        <v>#REF!</v>
      </c>
      <c r="L12" s="395" t="e">
        <f>РОВД!#REF!</f>
        <v>#REF!</v>
      </c>
      <c r="M12" s="179" t="e">
        <f t="shared" si="5"/>
        <v>#REF!</v>
      </c>
      <c r="N12" s="395" t="e">
        <f>РОВД!#REF!</f>
        <v>#REF!</v>
      </c>
      <c r="O12" s="179" t="e">
        <f t="shared" si="6"/>
        <v>#REF!</v>
      </c>
      <c r="P12" s="395" t="e">
        <f>РОВД!#REF!</f>
        <v>#REF!</v>
      </c>
      <c r="Q12" s="179" t="e">
        <f t="shared" si="7"/>
        <v>#REF!</v>
      </c>
      <c r="R12" s="402">
        <v>7</v>
      </c>
      <c r="S12" s="395" t="e">
        <f>РОВД!#REF!</f>
        <v>#REF!</v>
      </c>
      <c r="T12" s="179" t="e">
        <f t="shared" si="8"/>
        <v>#REF!</v>
      </c>
      <c r="U12" s="395" t="e">
        <f>РОВД!#REF!</f>
        <v>#REF!</v>
      </c>
      <c r="V12" s="179" t="e">
        <f t="shared" si="9"/>
        <v>#REF!</v>
      </c>
      <c r="W12" s="395" t="e">
        <f>РОВД!#REF!</f>
        <v>#REF!</v>
      </c>
      <c r="X12" s="179" t="e">
        <f t="shared" si="10"/>
        <v>#REF!</v>
      </c>
      <c r="Y12" s="395" t="e">
        <f>РОВД!#REF!</f>
        <v>#REF!</v>
      </c>
      <c r="Z12" s="179" t="e">
        <f t="shared" si="11"/>
        <v>#REF!</v>
      </c>
      <c r="AA12" s="395" t="e">
        <f>РОВД!#REF!</f>
        <v>#REF!</v>
      </c>
      <c r="AB12" s="179" t="e">
        <f t="shared" si="12"/>
        <v>#REF!</v>
      </c>
      <c r="AC12" s="395" t="e">
        <f>РОВД!#REF!</f>
        <v>#REF!</v>
      </c>
      <c r="AD12" s="179" t="e">
        <f t="shared" si="13"/>
        <v>#REF!</v>
      </c>
      <c r="AE12" s="596" t="e">
        <f>РОВД!#REF!</f>
        <v>#REF!</v>
      </c>
      <c r="AF12" s="597" t="e">
        <f t="shared" si="14"/>
        <v>#REF!</v>
      </c>
      <c r="AG12" s="598" t="e">
        <f>РОВД!#REF!</f>
        <v>#REF!</v>
      </c>
      <c r="AH12" s="597" t="e">
        <f t="shared" si="14"/>
        <v>#REF!</v>
      </c>
      <c r="AI12" s="598" t="e">
        <f>РОВД!#REF!</f>
        <v>#REF!</v>
      </c>
      <c r="AJ12" s="179" t="e">
        <f t="shared" si="15"/>
        <v>#REF!</v>
      </c>
      <c r="AK12" s="395" t="e">
        <f>РОВД!#REF!</f>
        <v>#REF!</v>
      </c>
      <c r="AL12" s="179" t="e">
        <f t="shared" si="16"/>
        <v>#REF!</v>
      </c>
      <c r="AM12" s="395" t="e">
        <f>РОВД!#REF!</f>
        <v>#REF!</v>
      </c>
      <c r="AN12" s="179" t="e">
        <f t="shared" si="17"/>
        <v>#REF!</v>
      </c>
      <c r="AO12" s="395" t="e">
        <f>РОВД!#REF!</f>
        <v>#REF!</v>
      </c>
      <c r="AP12" s="179" t="e">
        <f t="shared" si="18"/>
        <v>#REF!</v>
      </c>
      <c r="AQ12" s="395" t="e">
        <f>РОВД!#REF!</f>
        <v>#REF!</v>
      </c>
      <c r="AR12" s="179" t="e">
        <f t="shared" si="0"/>
        <v>#REF!</v>
      </c>
      <c r="AS12" s="598" t="e">
        <f>РОВД!#REF!</f>
        <v>#REF!</v>
      </c>
      <c r="AT12" s="179" t="e">
        <f t="shared" si="19"/>
        <v>#REF!</v>
      </c>
      <c r="AU12" s="395" t="e">
        <f>РОВД!#REF!</f>
        <v>#REF!</v>
      </c>
      <c r="AV12" s="179" t="e">
        <f t="shared" si="20"/>
        <v>#REF!</v>
      </c>
      <c r="AW12" s="395" t="e">
        <f>РОВД!#REF!</f>
        <v>#REF!</v>
      </c>
      <c r="AX12" s="179" t="e">
        <f t="shared" si="21"/>
        <v>#REF!</v>
      </c>
      <c r="AY12" s="395" t="e">
        <f>РОВД!#REF!</f>
        <v>#REF!</v>
      </c>
      <c r="AZ12" s="179" t="e">
        <f t="shared" si="22"/>
        <v>#REF!</v>
      </c>
      <c r="BA12" s="395" t="e">
        <f>РОВД!#REF!</f>
        <v>#REF!</v>
      </c>
      <c r="BB12" s="179" t="e">
        <f t="shared" si="23"/>
        <v>#REF!</v>
      </c>
      <c r="BC12" s="395" t="e">
        <f>РОВД!#REF!</f>
        <v>#REF!</v>
      </c>
      <c r="BD12" s="179" t="e">
        <f t="shared" si="24"/>
        <v>#REF!</v>
      </c>
      <c r="BE12" s="190"/>
      <c r="BF12" s="190"/>
      <c r="BG12" s="406">
        <v>7</v>
      </c>
      <c r="BH12" s="395" t="e">
        <f>РОВД!#REF!</f>
        <v>#REF!</v>
      </c>
      <c r="BI12" s="179" t="e">
        <f t="shared" si="25"/>
        <v>#REF!</v>
      </c>
      <c r="BJ12" s="395" t="e">
        <f>РОВД!#REF!</f>
        <v>#REF!</v>
      </c>
      <c r="BK12" s="179" t="e">
        <f t="shared" si="28"/>
        <v>#REF!</v>
      </c>
      <c r="BL12" s="395" t="e">
        <f>РОВД!#REF!</f>
        <v>#REF!</v>
      </c>
      <c r="BM12" s="179" t="e">
        <f t="shared" si="26"/>
        <v>#REF!</v>
      </c>
      <c r="BN12" s="53"/>
      <c r="BO12" s="603">
        <f>'Лемпино РН-ЮНГ'!C13</f>
        <v>8023.36</v>
      </c>
      <c r="BP12" s="741"/>
      <c r="BQ12" s="605">
        <f>'Лемпино РН-ЮНГ'!E13</f>
        <v>144</v>
      </c>
      <c r="BR12" s="723" t="e">
        <f t="shared" si="27"/>
        <v>#REF!</v>
      </c>
      <c r="BS12" s="724"/>
      <c r="BT12" s="93"/>
      <c r="BU12" s="93"/>
      <c r="BV12" s="93"/>
      <c r="BW12" s="93"/>
      <c r="BX12" s="2"/>
      <c r="BY12" s="2"/>
      <c r="BZ12" s="160"/>
      <c r="CA12" s="2"/>
      <c r="CB12" s="2"/>
      <c r="CC12" s="160"/>
    </row>
    <row r="13" spans="2:81" ht="19.5" customHeight="1">
      <c r="B13" s="70">
        <v>8</v>
      </c>
      <c r="C13" s="173">
        <f>РОВД!I14</f>
        <v>19489.943</v>
      </c>
      <c r="D13" s="178">
        <f t="shared" si="1"/>
        <v>28</v>
      </c>
      <c r="E13" s="175">
        <f>РОВД!K14</f>
        <v>6672.807</v>
      </c>
      <c r="F13" s="179">
        <f t="shared" si="2"/>
        <v>0</v>
      </c>
      <c r="G13" s="53"/>
      <c r="H13" s="395" t="e">
        <f>РОВД!#REF!</f>
        <v>#REF!</v>
      </c>
      <c r="I13" s="179" t="e">
        <f t="shared" si="3"/>
        <v>#REF!</v>
      </c>
      <c r="J13" s="395" t="e">
        <f>РОВД!#REF!</f>
        <v>#REF!</v>
      </c>
      <c r="K13" s="179" t="e">
        <f t="shared" si="4"/>
        <v>#REF!</v>
      </c>
      <c r="L13" s="395" t="e">
        <f>РОВД!#REF!</f>
        <v>#REF!</v>
      </c>
      <c r="M13" s="179" t="e">
        <f t="shared" si="5"/>
        <v>#REF!</v>
      </c>
      <c r="N13" s="395" t="e">
        <f>РОВД!#REF!</f>
        <v>#REF!</v>
      </c>
      <c r="O13" s="179" t="e">
        <f t="shared" si="6"/>
        <v>#REF!</v>
      </c>
      <c r="P13" s="395" t="e">
        <f>РОВД!#REF!</f>
        <v>#REF!</v>
      </c>
      <c r="Q13" s="179" t="e">
        <f t="shared" si="7"/>
        <v>#REF!</v>
      </c>
      <c r="R13" s="402">
        <v>8</v>
      </c>
      <c r="S13" s="395" t="e">
        <f>РОВД!#REF!</f>
        <v>#REF!</v>
      </c>
      <c r="T13" s="179" t="e">
        <f t="shared" si="8"/>
        <v>#REF!</v>
      </c>
      <c r="U13" s="395" t="e">
        <f>РОВД!#REF!</f>
        <v>#REF!</v>
      </c>
      <c r="V13" s="179" t="e">
        <f t="shared" si="9"/>
        <v>#REF!</v>
      </c>
      <c r="W13" s="395" t="e">
        <f>РОВД!#REF!</f>
        <v>#REF!</v>
      </c>
      <c r="X13" s="179" t="e">
        <f t="shared" si="10"/>
        <v>#REF!</v>
      </c>
      <c r="Y13" s="395" t="e">
        <f>РОВД!#REF!</f>
        <v>#REF!</v>
      </c>
      <c r="Z13" s="179" t="e">
        <f t="shared" si="11"/>
        <v>#REF!</v>
      </c>
      <c r="AA13" s="395" t="e">
        <f>РОВД!#REF!</f>
        <v>#REF!</v>
      </c>
      <c r="AB13" s="179" t="e">
        <f t="shared" si="12"/>
        <v>#REF!</v>
      </c>
      <c r="AC13" s="395" t="e">
        <f>РОВД!#REF!</f>
        <v>#REF!</v>
      </c>
      <c r="AD13" s="179" t="e">
        <f t="shared" si="13"/>
        <v>#REF!</v>
      </c>
      <c r="AE13" s="596" t="e">
        <f>РОВД!#REF!</f>
        <v>#REF!</v>
      </c>
      <c r="AF13" s="597" t="e">
        <f t="shared" si="14"/>
        <v>#REF!</v>
      </c>
      <c r="AG13" s="598" t="e">
        <f>РОВД!#REF!</f>
        <v>#REF!</v>
      </c>
      <c r="AH13" s="597" t="e">
        <f t="shared" si="14"/>
        <v>#REF!</v>
      </c>
      <c r="AI13" s="598" t="e">
        <f>РОВД!#REF!</f>
        <v>#REF!</v>
      </c>
      <c r="AJ13" s="179" t="e">
        <f t="shared" si="15"/>
        <v>#REF!</v>
      </c>
      <c r="AK13" s="395" t="e">
        <f>РОВД!#REF!</f>
        <v>#REF!</v>
      </c>
      <c r="AL13" s="179" t="e">
        <f t="shared" si="16"/>
        <v>#REF!</v>
      </c>
      <c r="AM13" s="395" t="e">
        <f>РОВД!#REF!</f>
        <v>#REF!</v>
      </c>
      <c r="AN13" s="179" t="e">
        <f t="shared" si="17"/>
        <v>#REF!</v>
      </c>
      <c r="AO13" s="395" t="e">
        <f>РОВД!#REF!</f>
        <v>#REF!</v>
      </c>
      <c r="AP13" s="179" t="e">
        <f t="shared" si="18"/>
        <v>#REF!</v>
      </c>
      <c r="AQ13" s="395" t="e">
        <f>РОВД!#REF!</f>
        <v>#REF!</v>
      </c>
      <c r="AR13" s="179" t="e">
        <f t="shared" si="0"/>
        <v>#REF!</v>
      </c>
      <c r="AS13" s="598" t="e">
        <f>РОВД!#REF!</f>
        <v>#REF!</v>
      </c>
      <c r="AT13" s="179" t="e">
        <f t="shared" si="19"/>
        <v>#REF!</v>
      </c>
      <c r="AU13" s="395" t="e">
        <f>РОВД!#REF!</f>
        <v>#REF!</v>
      </c>
      <c r="AV13" s="179" t="e">
        <f t="shared" si="20"/>
        <v>#REF!</v>
      </c>
      <c r="AW13" s="395" t="e">
        <f>РОВД!#REF!</f>
        <v>#REF!</v>
      </c>
      <c r="AX13" s="179" t="e">
        <f t="shared" si="21"/>
        <v>#REF!</v>
      </c>
      <c r="AY13" s="395" t="e">
        <f>РОВД!#REF!</f>
        <v>#REF!</v>
      </c>
      <c r="AZ13" s="179" t="e">
        <f t="shared" si="22"/>
        <v>#REF!</v>
      </c>
      <c r="BA13" s="395" t="e">
        <f>РОВД!#REF!</f>
        <v>#REF!</v>
      </c>
      <c r="BB13" s="179" t="e">
        <f t="shared" si="23"/>
        <v>#REF!</v>
      </c>
      <c r="BC13" s="395" t="e">
        <f>РОВД!#REF!</f>
        <v>#REF!</v>
      </c>
      <c r="BD13" s="179" t="e">
        <f t="shared" si="24"/>
        <v>#REF!</v>
      </c>
      <c r="BE13" s="190"/>
      <c r="BF13" s="190"/>
      <c r="BG13" s="406">
        <v>8</v>
      </c>
      <c r="BH13" s="395" t="e">
        <f>РОВД!#REF!</f>
        <v>#REF!</v>
      </c>
      <c r="BI13" s="179" t="e">
        <f t="shared" si="25"/>
        <v>#REF!</v>
      </c>
      <c r="BJ13" s="395" t="e">
        <f>РОВД!#REF!</f>
        <v>#REF!</v>
      </c>
      <c r="BK13" s="179" t="e">
        <f t="shared" si="28"/>
        <v>#REF!</v>
      </c>
      <c r="BL13" s="395" t="e">
        <f>РОВД!#REF!</f>
        <v>#REF!</v>
      </c>
      <c r="BM13" s="179" t="e">
        <f t="shared" si="26"/>
        <v>#REF!</v>
      </c>
      <c r="BN13" s="53"/>
      <c r="BO13" s="603">
        <f>'Лемпино РН-ЮНГ'!C14</f>
        <v>8023.43</v>
      </c>
      <c r="BP13" s="741"/>
      <c r="BQ13" s="605">
        <f>'Лемпино РН-ЮНГ'!E14</f>
        <v>168</v>
      </c>
      <c r="BR13" s="723" t="e">
        <f t="shared" si="27"/>
        <v>#REF!</v>
      </c>
      <c r="BS13" s="724"/>
      <c r="BT13" s="93"/>
      <c r="BU13" s="93"/>
      <c r="BV13" s="93"/>
      <c r="BW13" s="93"/>
      <c r="BX13" s="2"/>
      <c r="BY13" s="2"/>
      <c r="BZ13" s="160"/>
      <c r="CA13" s="2"/>
      <c r="CB13" s="2"/>
      <c r="CC13" s="160"/>
    </row>
    <row r="14" spans="2:81" ht="19.5" customHeight="1">
      <c r="B14" s="70">
        <v>9</v>
      </c>
      <c r="C14" s="173">
        <f>РОВД!I15</f>
        <v>19490.172</v>
      </c>
      <c r="D14" s="178">
        <f t="shared" si="1"/>
        <v>27</v>
      </c>
      <c r="E14" s="175">
        <f>РОВД!K15</f>
        <v>6672.807</v>
      </c>
      <c r="F14" s="179">
        <f t="shared" si="2"/>
        <v>0</v>
      </c>
      <c r="G14" s="53"/>
      <c r="H14" s="395" t="e">
        <f>РОВД!#REF!</f>
        <v>#REF!</v>
      </c>
      <c r="I14" s="179" t="e">
        <f t="shared" si="3"/>
        <v>#REF!</v>
      </c>
      <c r="J14" s="395" t="e">
        <f>РОВД!#REF!</f>
        <v>#REF!</v>
      </c>
      <c r="K14" s="179" t="e">
        <f t="shared" si="4"/>
        <v>#REF!</v>
      </c>
      <c r="L14" s="395" t="e">
        <f>РОВД!#REF!</f>
        <v>#REF!</v>
      </c>
      <c r="M14" s="179" t="e">
        <f t="shared" si="5"/>
        <v>#REF!</v>
      </c>
      <c r="N14" s="395" t="e">
        <f>РОВД!#REF!</f>
        <v>#REF!</v>
      </c>
      <c r="O14" s="179" t="e">
        <f t="shared" si="6"/>
        <v>#REF!</v>
      </c>
      <c r="P14" s="395" t="e">
        <f>РОВД!#REF!</f>
        <v>#REF!</v>
      </c>
      <c r="Q14" s="179" t="e">
        <f t="shared" si="7"/>
        <v>#REF!</v>
      </c>
      <c r="R14" s="402">
        <v>9</v>
      </c>
      <c r="S14" s="395" t="e">
        <f>РОВД!#REF!</f>
        <v>#REF!</v>
      </c>
      <c r="T14" s="179" t="e">
        <f t="shared" si="8"/>
        <v>#REF!</v>
      </c>
      <c r="U14" s="395" t="e">
        <f>РОВД!#REF!</f>
        <v>#REF!</v>
      </c>
      <c r="V14" s="179" t="e">
        <f t="shared" si="9"/>
        <v>#REF!</v>
      </c>
      <c r="W14" s="395" t="e">
        <f>РОВД!#REF!</f>
        <v>#REF!</v>
      </c>
      <c r="X14" s="179" t="e">
        <f t="shared" si="10"/>
        <v>#REF!</v>
      </c>
      <c r="Y14" s="395" t="e">
        <f>РОВД!#REF!</f>
        <v>#REF!</v>
      </c>
      <c r="Z14" s="179" t="e">
        <f t="shared" si="11"/>
        <v>#REF!</v>
      </c>
      <c r="AA14" s="395" t="e">
        <f>РОВД!#REF!</f>
        <v>#REF!</v>
      </c>
      <c r="AB14" s="179" t="e">
        <f t="shared" si="12"/>
        <v>#REF!</v>
      </c>
      <c r="AC14" s="395" t="e">
        <f>РОВД!#REF!</f>
        <v>#REF!</v>
      </c>
      <c r="AD14" s="179" t="e">
        <f t="shared" si="13"/>
        <v>#REF!</v>
      </c>
      <c r="AE14" s="596" t="e">
        <f>РОВД!#REF!</f>
        <v>#REF!</v>
      </c>
      <c r="AF14" s="597" t="e">
        <f t="shared" si="14"/>
        <v>#REF!</v>
      </c>
      <c r="AG14" s="598" t="e">
        <f>РОВД!#REF!</f>
        <v>#REF!</v>
      </c>
      <c r="AH14" s="597" t="e">
        <f t="shared" si="14"/>
        <v>#REF!</v>
      </c>
      <c r="AI14" s="598" t="e">
        <f>РОВД!#REF!</f>
        <v>#REF!</v>
      </c>
      <c r="AJ14" s="179" t="e">
        <f t="shared" si="15"/>
        <v>#REF!</v>
      </c>
      <c r="AK14" s="395" t="e">
        <f>РОВД!#REF!</f>
        <v>#REF!</v>
      </c>
      <c r="AL14" s="179" t="e">
        <f t="shared" si="16"/>
        <v>#REF!</v>
      </c>
      <c r="AM14" s="395" t="e">
        <f>РОВД!#REF!</f>
        <v>#REF!</v>
      </c>
      <c r="AN14" s="179" t="e">
        <f t="shared" si="17"/>
        <v>#REF!</v>
      </c>
      <c r="AO14" s="395" t="e">
        <f>РОВД!#REF!</f>
        <v>#REF!</v>
      </c>
      <c r="AP14" s="179" t="e">
        <f t="shared" si="18"/>
        <v>#REF!</v>
      </c>
      <c r="AQ14" s="395" t="e">
        <f>РОВД!#REF!</f>
        <v>#REF!</v>
      </c>
      <c r="AR14" s="179" t="e">
        <f t="shared" si="0"/>
        <v>#REF!</v>
      </c>
      <c r="AS14" s="598" t="e">
        <f>РОВД!#REF!</f>
        <v>#REF!</v>
      </c>
      <c r="AT14" s="179" t="e">
        <f t="shared" si="19"/>
        <v>#REF!</v>
      </c>
      <c r="AU14" s="395" t="e">
        <f>РОВД!#REF!</f>
        <v>#REF!</v>
      </c>
      <c r="AV14" s="179" t="e">
        <f t="shared" si="20"/>
        <v>#REF!</v>
      </c>
      <c r="AW14" s="395" t="e">
        <f>РОВД!#REF!</f>
        <v>#REF!</v>
      </c>
      <c r="AX14" s="179" t="e">
        <f t="shared" si="21"/>
        <v>#REF!</v>
      </c>
      <c r="AY14" s="395" t="e">
        <f>РОВД!#REF!</f>
        <v>#REF!</v>
      </c>
      <c r="AZ14" s="179" t="e">
        <f t="shared" si="22"/>
        <v>#REF!</v>
      </c>
      <c r="BA14" s="395" t="e">
        <f>РОВД!#REF!</f>
        <v>#REF!</v>
      </c>
      <c r="BB14" s="179" t="e">
        <f t="shared" si="23"/>
        <v>#REF!</v>
      </c>
      <c r="BC14" s="395" t="e">
        <f>РОВД!#REF!</f>
        <v>#REF!</v>
      </c>
      <c r="BD14" s="179" t="e">
        <f t="shared" si="24"/>
        <v>#REF!</v>
      </c>
      <c r="BE14" s="190"/>
      <c r="BF14" s="190"/>
      <c r="BG14" s="406">
        <v>9</v>
      </c>
      <c r="BH14" s="395" t="e">
        <f>РОВД!#REF!</f>
        <v>#REF!</v>
      </c>
      <c r="BI14" s="179" t="e">
        <f t="shared" si="25"/>
        <v>#REF!</v>
      </c>
      <c r="BJ14" s="395" t="e">
        <f>РОВД!#REF!</f>
        <v>#REF!</v>
      </c>
      <c r="BK14" s="179" t="e">
        <f t="shared" si="28"/>
        <v>#REF!</v>
      </c>
      <c r="BL14" s="395" t="e">
        <f>РОВД!#REF!</f>
        <v>#REF!</v>
      </c>
      <c r="BM14" s="179" t="e">
        <f t="shared" si="26"/>
        <v>#REF!</v>
      </c>
      <c r="BN14" s="53"/>
      <c r="BO14" s="603">
        <f>'Лемпино РН-ЮНГ'!C15</f>
        <v>8023.5</v>
      </c>
      <c r="BP14" s="741"/>
      <c r="BQ14" s="605">
        <f>'Лемпино РН-ЮНГ'!E15</f>
        <v>168</v>
      </c>
      <c r="BR14" s="723" t="e">
        <f t="shared" si="27"/>
        <v>#REF!</v>
      </c>
      <c r="BS14" s="724"/>
      <c r="BT14" s="93"/>
      <c r="BU14" s="93"/>
      <c r="BV14" s="93"/>
      <c r="BW14" s="93"/>
      <c r="BX14" s="2"/>
      <c r="BY14" s="2"/>
      <c r="BZ14" s="160"/>
      <c r="CA14" s="2"/>
      <c r="CB14" s="2"/>
      <c r="CC14" s="160"/>
    </row>
    <row r="15" spans="2:81" ht="19.5" customHeight="1">
      <c r="B15" s="70">
        <v>10</v>
      </c>
      <c r="C15" s="173">
        <f>РОВД!I16</f>
        <v>19490.402</v>
      </c>
      <c r="D15" s="178">
        <f t="shared" si="1"/>
        <v>28</v>
      </c>
      <c r="E15" s="175">
        <f>РОВД!K16</f>
        <v>6672.807</v>
      </c>
      <c r="F15" s="179">
        <f t="shared" si="2"/>
        <v>0</v>
      </c>
      <c r="G15" s="53"/>
      <c r="H15" s="395" t="e">
        <f>РОВД!#REF!</f>
        <v>#REF!</v>
      </c>
      <c r="I15" s="179" t="e">
        <f t="shared" si="3"/>
        <v>#REF!</v>
      </c>
      <c r="J15" s="395" t="e">
        <f>РОВД!#REF!</f>
        <v>#REF!</v>
      </c>
      <c r="K15" s="179" t="e">
        <f t="shared" si="4"/>
        <v>#REF!</v>
      </c>
      <c r="L15" s="395" t="e">
        <f>РОВД!#REF!</f>
        <v>#REF!</v>
      </c>
      <c r="M15" s="179" t="e">
        <f t="shared" si="5"/>
        <v>#REF!</v>
      </c>
      <c r="N15" s="395" t="e">
        <f>РОВД!#REF!</f>
        <v>#REF!</v>
      </c>
      <c r="O15" s="179" t="e">
        <f t="shared" si="6"/>
        <v>#REF!</v>
      </c>
      <c r="P15" s="395" t="e">
        <f>РОВД!#REF!</f>
        <v>#REF!</v>
      </c>
      <c r="Q15" s="179" t="e">
        <f t="shared" si="7"/>
        <v>#REF!</v>
      </c>
      <c r="R15" s="402">
        <v>10</v>
      </c>
      <c r="S15" s="395" t="e">
        <f>РОВД!#REF!</f>
        <v>#REF!</v>
      </c>
      <c r="T15" s="179" t="e">
        <f t="shared" si="8"/>
        <v>#REF!</v>
      </c>
      <c r="U15" s="395" t="e">
        <f>РОВД!#REF!</f>
        <v>#REF!</v>
      </c>
      <c r="V15" s="179" t="e">
        <f t="shared" si="9"/>
        <v>#REF!</v>
      </c>
      <c r="W15" s="395" t="e">
        <f>РОВД!#REF!</f>
        <v>#REF!</v>
      </c>
      <c r="X15" s="179" t="e">
        <f t="shared" si="10"/>
        <v>#REF!</v>
      </c>
      <c r="Y15" s="395" t="e">
        <f>РОВД!#REF!</f>
        <v>#REF!</v>
      </c>
      <c r="Z15" s="179" t="e">
        <f t="shared" si="11"/>
        <v>#REF!</v>
      </c>
      <c r="AA15" s="395" t="e">
        <f>РОВД!#REF!</f>
        <v>#REF!</v>
      </c>
      <c r="AB15" s="179" t="e">
        <f t="shared" si="12"/>
        <v>#REF!</v>
      </c>
      <c r="AC15" s="395" t="e">
        <f>РОВД!#REF!</f>
        <v>#REF!</v>
      </c>
      <c r="AD15" s="179" t="e">
        <f t="shared" si="13"/>
        <v>#REF!</v>
      </c>
      <c r="AE15" s="596" t="e">
        <f>РОВД!#REF!</f>
        <v>#REF!</v>
      </c>
      <c r="AF15" s="597" t="e">
        <f t="shared" si="14"/>
        <v>#REF!</v>
      </c>
      <c r="AG15" s="598" t="e">
        <f>РОВД!#REF!</f>
        <v>#REF!</v>
      </c>
      <c r="AH15" s="597" t="e">
        <f t="shared" si="14"/>
        <v>#REF!</v>
      </c>
      <c r="AI15" s="598" t="e">
        <f>РОВД!#REF!</f>
        <v>#REF!</v>
      </c>
      <c r="AJ15" s="179" t="e">
        <f t="shared" si="15"/>
        <v>#REF!</v>
      </c>
      <c r="AK15" s="395" t="e">
        <f>РОВД!#REF!</f>
        <v>#REF!</v>
      </c>
      <c r="AL15" s="179" t="e">
        <f t="shared" si="16"/>
        <v>#REF!</v>
      </c>
      <c r="AM15" s="395" t="e">
        <f>РОВД!#REF!</f>
        <v>#REF!</v>
      </c>
      <c r="AN15" s="179" t="e">
        <f t="shared" si="17"/>
        <v>#REF!</v>
      </c>
      <c r="AO15" s="395" t="e">
        <f>РОВД!#REF!</f>
        <v>#REF!</v>
      </c>
      <c r="AP15" s="179" t="e">
        <f t="shared" si="18"/>
        <v>#REF!</v>
      </c>
      <c r="AQ15" s="395" t="e">
        <f>РОВД!#REF!</f>
        <v>#REF!</v>
      </c>
      <c r="AR15" s="179" t="e">
        <f t="shared" si="0"/>
        <v>#REF!</v>
      </c>
      <c r="AS15" s="598" t="e">
        <f>РОВД!#REF!</f>
        <v>#REF!</v>
      </c>
      <c r="AT15" s="179" t="e">
        <f t="shared" si="19"/>
        <v>#REF!</v>
      </c>
      <c r="AU15" s="395" t="e">
        <f>РОВД!#REF!</f>
        <v>#REF!</v>
      </c>
      <c r="AV15" s="179" t="e">
        <f t="shared" si="20"/>
        <v>#REF!</v>
      </c>
      <c r="AW15" s="395" t="e">
        <f>РОВД!#REF!</f>
        <v>#REF!</v>
      </c>
      <c r="AX15" s="179" t="e">
        <f t="shared" si="21"/>
        <v>#REF!</v>
      </c>
      <c r="AY15" s="395" t="e">
        <f>РОВД!#REF!</f>
        <v>#REF!</v>
      </c>
      <c r="AZ15" s="179" t="e">
        <f t="shared" si="22"/>
        <v>#REF!</v>
      </c>
      <c r="BA15" s="395" t="e">
        <f>РОВД!#REF!</f>
        <v>#REF!</v>
      </c>
      <c r="BB15" s="179" t="e">
        <f t="shared" si="23"/>
        <v>#REF!</v>
      </c>
      <c r="BC15" s="395" t="e">
        <f>РОВД!#REF!</f>
        <v>#REF!</v>
      </c>
      <c r="BD15" s="179" t="e">
        <f t="shared" si="24"/>
        <v>#REF!</v>
      </c>
      <c r="BE15" s="190"/>
      <c r="BF15" s="190"/>
      <c r="BG15" s="406">
        <v>10</v>
      </c>
      <c r="BH15" s="395" t="e">
        <f>РОВД!#REF!</f>
        <v>#REF!</v>
      </c>
      <c r="BI15" s="179" t="e">
        <f t="shared" si="25"/>
        <v>#REF!</v>
      </c>
      <c r="BJ15" s="395" t="e">
        <f>РОВД!#REF!</f>
        <v>#REF!</v>
      </c>
      <c r="BK15" s="179" t="e">
        <f t="shared" si="28"/>
        <v>#REF!</v>
      </c>
      <c r="BL15" s="395" t="e">
        <f>РОВД!#REF!</f>
        <v>#REF!</v>
      </c>
      <c r="BM15" s="179" t="e">
        <f t="shared" si="26"/>
        <v>#REF!</v>
      </c>
      <c r="BN15" s="53"/>
      <c r="BO15" s="603">
        <f>'Лемпино РН-ЮНГ'!C16</f>
        <v>8023.57</v>
      </c>
      <c r="BP15" s="741"/>
      <c r="BQ15" s="605">
        <f>'Лемпино РН-ЮНГ'!E16</f>
        <v>168</v>
      </c>
      <c r="BR15" s="723" t="e">
        <f t="shared" si="27"/>
        <v>#REF!</v>
      </c>
      <c r="BS15" s="724"/>
      <c r="BT15" s="93"/>
      <c r="BU15" s="93"/>
      <c r="BV15" s="93"/>
      <c r="BW15" s="93"/>
      <c r="BX15" s="2"/>
      <c r="BY15" s="2"/>
      <c r="BZ15" s="160"/>
      <c r="CA15" s="2"/>
      <c r="CB15" s="2"/>
      <c r="CC15" s="160"/>
    </row>
    <row r="16" spans="2:81" ht="19.5" customHeight="1">
      <c r="B16" s="70">
        <v>11</v>
      </c>
      <c r="C16" s="173">
        <f>РОВД!I17</f>
        <v>19490.637</v>
      </c>
      <c r="D16" s="178">
        <f t="shared" si="1"/>
        <v>28</v>
      </c>
      <c r="E16" s="175">
        <f>РОВД!K17</f>
        <v>6672.807</v>
      </c>
      <c r="F16" s="179">
        <f t="shared" si="2"/>
        <v>0</v>
      </c>
      <c r="G16" s="53"/>
      <c r="H16" s="395" t="e">
        <f>РОВД!#REF!</f>
        <v>#REF!</v>
      </c>
      <c r="I16" s="179" t="e">
        <f t="shared" si="3"/>
        <v>#REF!</v>
      </c>
      <c r="J16" s="395" t="e">
        <f>РОВД!#REF!</f>
        <v>#REF!</v>
      </c>
      <c r="K16" s="179" t="e">
        <f t="shared" si="4"/>
        <v>#REF!</v>
      </c>
      <c r="L16" s="395" t="e">
        <f>РОВД!#REF!</f>
        <v>#REF!</v>
      </c>
      <c r="M16" s="179" t="e">
        <f t="shared" si="5"/>
        <v>#REF!</v>
      </c>
      <c r="N16" s="395" t="e">
        <f>РОВД!#REF!</f>
        <v>#REF!</v>
      </c>
      <c r="O16" s="179" t="e">
        <f t="shared" si="6"/>
        <v>#REF!</v>
      </c>
      <c r="P16" s="395" t="e">
        <f>РОВД!#REF!</f>
        <v>#REF!</v>
      </c>
      <c r="Q16" s="179" t="e">
        <f t="shared" si="7"/>
        <v>#REF!</v>
      </c>
      <c r="R16" s="402">
        <v>11</v>
      </c>
      <c r="S16" s="395" t="e">
        <f>РОВД!#REF!</f>
        <v>#REF!</v>
      </c>
      <c r="T16" s="179" t="e">
        <f t="shared" si="8"/>
        <v>#REF!</v>
      </c>
      <c r="U16" s="395" t="e">
        <f>РОВД!#REF!</f>
        <v>#REF!</v>
      </c>
      <c r="V16" s="179" t="e">
        <f t="shared" si="9"/>
        <v>#REF!</v>
      </c>
      <c r="W16" s="395" t="e">
        <f>РОВД!#REF!</f>
        <v>#REF!</v>
      </c>
      <c r="X16" s="179" t="e">
        <f t="shared" si="10"/>
        <v>#REF!</v>
      </c>
      <c r="Y16" s="395" t="e">
        <f>РОВД!#REF!</f>
        <v>#REF!</v>
      </c>
      <c r="Z16" s="179" t="e">
        <f t="shared" si="11"/>
        <v>#REF!</v>
      </c>
      <c r="AA16" s="395" t="e">
        <f>РОВД!#REF!</f>
        <v>#REF!</v>
      </c>
      <c r="AB16" s="179" t="e">
        <f t="shared" si="12"/>
        <v>#REF!</v>
      </c>
      <c r="AC16" s="395" t="e">
        <f>РОВД!#REF!</f>
        <v>#REF!</v>
      </c>
      <c r="AD16" s="179" t="e">
        <f t="shared" si="13"/>
        <v>#REF!</v>
      </c>
      <c r="AE16" s="596" t="e">
        <f>РОВД!#REF!</f>
        <v>#REF!</v>
      </c>
      <c r="AF16" s="597" t="e">
        <f t="shared" si="14"/>
        <v>#REF!</v>
      </c>
      <c r="AG16" s="598" t="e">
        <f>РОВД!#REF!</f>
        <v>#REF!</v>
      </c>
      <c r="AH16" s="597" t="e">
        <f t="shared" si="14"/>
        <v>#REF!</v>
      </c>
      <c r="AI16" s="598" t="e">
        <f>РОВД!#REF!</f>
        <v>#REF!</v>
      </c>
      <c r="AJ16" s="179" t="e">
        <f t="shared" si="15"/>
        <v>#REF!</v>
      </c>
      <c r="AK16" s="395" t="e">
        <f>РОВД!#REF!</f>
        <v>#REF!</v>
      </c>
      <c r="AL16" s="179" t="e">
        <f t="shared" si="16"/>
        <v>#REF!</v>
      </c>
      <c r="AM16" s="395" t="e">
        <f>РОВД!#REF!</f>
        <v>#REF!</v>
      </c>
      <c r="AN16" s="179" t="e">
        <f t="shared" si="17"/>
        <v>#REF!</v>
      </c>
      <c r="AO16" s="395" t="e">
        <f>РОВД!#REF!</f>
        <v>#REF!</v>
      </c>
      <c r="AP16" s="179" t="e">
        <f t="shared" si="18"/>
        <v>#REF!</v>
      </c>
      <c r="AQ16" s="395" t="e">
        <f>РОВД!#REF!</f>
        <v>#REF!</v>
      </c>
      <c r="AR16" s="179" t="e">
        <f t="shared" si="0"/>
        <v>#REF!</v>
      </c>
      <c r="AS16" s="598" t="e">
        <f>РОВД!#REF!</f>
        <v>#REF!</v>
      </c>
      <c r="AT16" s="179" t="e">
        <f t="shared" si="19"/>
        <v>#REF!</v>
      </c>
      <c r="AU16" s="395" t="e">
        <f>РОВД!#REF!</f>
        <v>#REF!</v>
      </c>
      <c r="AV16" s="179" t="e">
        <f t="shared" si="20"/>
        <v>#REF!</v>
      </c>
      <c r="AW16" s="395" t="e">
        <f>РОВД!#REF!</f>
        <v>#REF!</v>
      </c>
      <c r="AX16" s="179" t="e">
        <f t="shared" si="21"/>
        <v>#REF!</v>
      </c>
      <c r="AY16" s="395" t="e">
        <f>РОВД!#REF!</f>
        <v>#REF!</v>
      </c>
      <c r="AZ16" s="179" t="e">
        <f t="shared" si="22"/>
        <v>#REF!</v>
      </c>
      <c r="BA16" s="395" t="e">
        <f>РОВД!#REF!</f>
        <v>#REF!</v>
      </c>
      <c r="BB16" s="179" t="e">
        <f t="shared" si="23"/>
        <v>#REF!</v>
      </c>
      <c r="BC16" s="395" t="e">
        <f>РОВД!#REF!</f>
        <v>#REF!</v>
      </c>
      <c r="BD16" s="179" t="e">
        <f t="shared" si="24"/>
        <v>#REF!</v>
      </c>
      <c r="BE16" s="190"/>
      <c r="BF16" s="190"/>
      <c r="BG16" s="406">
        <v>11</v>
      </c>
      <c r="BH16" s="395" t="e">
        <f>РОВД!#REF!</f>
        <v>#REF!</v>
      </c>
      <c r="BI16" s="179" t="e">
        <f t="shared" si="25"/>
        <v>#REF!</v>
      </c>
      <c r="BJ16" s="395" t="e">
        <f>РОВД!#REF!</f>
        <v>#REF!</v>
      </c>
      <c r="BK16" s="179" t="e">
        <f t="shared" si="28"/>
        <v>#REF!</v>
      </c>
      <c r="BL16" s="395" t="e">
        <f>РОВД!#REF!</f>
        <v>#REF!</v>
      </c>
      <c r="BM16" s="179" t="e">
        <f t="shared" si="26"/>
        <v>#REF!</v>
      </c>
      <c r="BN16" s="53"/>
      <c r="BO16" s="603">
        <f>'Лемпино РН-ЮНГ'!C17</f>
        <v>8023.64</v>
      </c>
      <c r="BP16" s="741"/>
      <c r="BQ16" s="605">
        <f>'Лемпино РН-ЮНГ'!E17</f>
        <v>168</v>
      </c>
      <c r="BR16" s="723" t="e">
        <f t="shared" si="27"/>
        <v>#REF!</v>
      </c>
      <c r="BS16" s="724"/>
      <c r="BT16" s="93"/>
      <c r="BU16" s="93"/>
      <c r="BV16" s="93"/>
      <c r="BW16" s="93"/>
      <c r="BX16" s="2"/>
      <c r="BY16" s="2"/>
      <c r="BZ16" s="160"/>
      <c r="CA16" s="2"/>
      <c r="CB16" s="2"/>
      <c r="CC16" s="160"/>
    </row>
    <row r="17" spans="2:81" ht="19.5" customHeight="1">
      <c r="B17" s="70">
        <v>12</v>
      </c>
      <c r="C17" s="173">
        <f>РОВД!I18</f>
        <v>19490.873</v>
      </c>
      <c r="D17" s="178">
        <f t="shared" si="1"/>
        <v>28</v>
      </c>
      <c r="E17" s="175">
        <f>РОВД!K18</f>
        <v>6672.807</v>
      </c>
      <c r="F17" s="179">
        <f t="shared" si="2"/>
        <v>0</v>
      </c>
      <c r="G17" s="53"/>
      <c r="H17" s="395" t="e">
        <f>РОВД!#REF!</f>
        <v>#REF!</v>
      </c>
      <c r="I17" s="179" t="e">
        <f t="shared" si="3"/>
        <v>#REF!</v>
      </c>
      <c r="J17" s="395" t="e">
        <f>РОВД!#REF!</f>
        <v>#REF!</v>
      </c>
      <c r="K17" s="179" t="e">
        <f t="shared" si="4"/>
        <v>#REF!</v>
      </c>
      <c r="L17" s="395" t="e">
        <f>РОВД!#REF!</f>
        <v>#REF!</v>
      </c>
      <c r="M17" s="179" t="e">
        <f t="shared" si="5"/>
        <v>#REF!</v>
      </c>
      <c r="N17" s="395" t="e">
        <f>РОВД!#REF!</f>
        <v>#REF!</v>
      </c>
      <c r="O17" s="179" t="e">
        <f t="shared" si="6"/>
        <v>#REF!</v>
      </c>
      <c r="P17" s="395" t="e">
        <f>РОВД!#REF!</f>
        <v>#REF!</v>
      </c>
      <c r="Q17" s="179" t="e">
        <f t="shared" si="7"/>
        <v>#REF!</v>
      </c>
      <c r="R17" s="402">
        <v>12</v>
      </c>
      <c r="S17" s="395" t="e">
        <f>РОВД!#REF!</f>
        <v>#REF!</v>
      </c>
      <c r="T17" s="179" t="e">
        <f t="shared" si="8"/>
        <v>#REF!</v>
      </c>
      <c r="U17" s="395" t="e">
        <f>РОВД!#REF!</f>
        <v>#REF!</v>
      </c>
      <c r="V17" s="179" t="e">
        <f t="shared" si="9"/>
        <v>#REF!</v>
      </c>
      <c r="W17" s="395" t="e">
        <f>РОВД!#REF!</f>
        <v>#REF!</v>
      </c>
      <c r="X17" s="179" t="e">
        <f t="shared" si="10"/>
        <v>#REF!</v>
      </c>
      <c r="Y17" s="395" t="e">
        <f>РОВД!#REF!</f>
        <v>#REF!</v>
      </c>
      <c r="Z17" s="179" t="e">
        <f t="shared" si="11"/>
        <v>#REF!</v>
      </c>
      <c r="AA17" s="395" t="e">
        <f>РОВД!#REF!</f>
        <v>#REF!</v>
      </c>
      <c r="AB17" s="179" t="e">
        <f t="shared" si="12"/>
        <v>#REF!</v>
      </c>
      <c r="AC17" s="395" t="e">
        <f>РОВД!#REF!</f>
        <v>#REF!</v>
      </c>
      <c r="AD17" s="179" t="e">
        <f t="shared" si="13"/>
        <v>#REF!</v>
      </c>
      <c r="AE17" s="596" t="e">
        <f>РОВД!#REF!</f>
        <v>#REF!</v>
      </c>
      <c r="AF17" s="597" t="e">
        <f t="shared" si="14"/>
        <v>#REF!</v>
      </c>
      <c r="AG17" s="598" t="e">
        <f>РОВД!#REF!</f>
        <v>#REF!</v>
      </c>
      <c r="AH17" s="597" t="e">
        <f t="shared" si="14"/>
        <v>#REF!</v>
      </c>
      <c r="AI17" s="598" t="e">
        <f>РОВД!#REF!</f>
        <v>#REF!</v>
      </c>
      <c r="AJ17" s="179" t="e">
        <f t="shared" si="15"/>
        <v>#REF!</v>
      </c>
      <c r="AK17" s="395" t="e">
        <f>РОВД!#REF!</f>
        <v>#REF!</v>
      </c>
      <c r="AL17" s="179" t="e">
        <f t="shared" si="16"/>
        <v>#REF!</v>
      </c>
      <c r="AM17" s="395" t="e">
        <f>РОВД!#REF!</f>
        <v>#REF!</v>
      </c>
      <c r="AN17" s="179" t="e">
        <f t="shared" si="17"/>
        <v>#REF!</v>
      </c>
      <c r="AO17" s="395" t="e">
        <f>РОВД!#REF!</f>
        <v>#REF!</v>
      </c>
      <c r="AP17" s="179" t="e">
        <f t="shared" si="18"/>
        <v>#REF!</v>
      </c>
      <c r="AQ17" s="395" t="e">
        <f>РОВД!#REF!</f>
        <v>#REF!</v>
      </c>
      <c r="AR17" s="179" t="e">
        <f t="shared" si="0"/>
        <v>#REF!</v>
      </c>
      <c r="AS17" s="598" t="e">
        <f>РОВД!#REF!</f>
        <v>#REF!</v>
      </c>
      <c r="AT17" s="179" t="e">
        <f t="shared" si="19"/>
        <v>#REF!</v>
      </c>
      <c r="AU17" s="395" t="e">
        <f>РОВД!#REF!</f>
        <v>#REF!</v>
      </c>
      <c r="AV17" s="179" t="e">
        <f t="shared" si="20"/>
        <v>#REF!</v>
      </c>
      <c r="AW17" s="395" t="e">
        <f>РОВД!#REF!</f>
        <v>#REF!</v>
      </c>
      <c r="AX17" s="179" t="e">
        <f t="shared" si="21"/>
        <v>#REF!</v>
      </c>
      <c r="AY17" s="395" t="e">
        <f>РОВД!#REF!</f>
        <v>#REF!</v>
      </c>
      <c r="AZ17" s="179" t="e">
        <f t="shared" si="22"/>
        <v>#REF!</v>
      </c>
      <c r="BA17" s="395" t="e">
        <f>РОВД!#REF!</f>
        <v>#REF!</v>
      </c>
      <c r="BB17" s="179" t="e">
        <f t="shared" si="23"/>
        <v>#REF!</v>
      </c>
      <c r="BC17" s="395" t="e">
        <f>РОВД!#REF!</f>
        <v>#REF!</v>
      </c>
      <c r="BD17" s="179" t="e">
        <f t="shared" si="24"/>
        <v>#REF!</v>
      </c>
      <c r="BE17" s="190"/>
      <c r="BF17" s="190"/>
      <c r="BG17" s="406">
        <v>12</v>
      </c>
      <c r="BH17" s="395" t="e">
        <f>РОВД!#REF!</f>
        <v>#REF!</v>
      </c>
      <c r="BI17" s="179" t="e">
        <f t="shared" si="25"/>
        <v>#REF!</v>
      </c>
      <c r="BJ17" s="395" t="e">
        <f>РОВД!#REF!</f>
        <v>#REF!</v>
      </c>
      <c r="BK17" s="179" t="e">
        <f t="shared" si="28"/>
        <v>#REF!</v>
      </c>
      <c r="BL17" s="395" t="e">
        <f>РОВД!#REF!</f>
        <v>#REF!</v>
      </c>
      <c r="BM17" s="179" t="e">
        <f t="shared" si="26"/>
        <v>#REF!</v>
      </c>
      <c r="BN17" s="53"/>
      <c r="BO17" s="603">
        <f>'Лемпино РН-ЮНГ'!C18</f>
        <v>8023.71</v>
      </c>
      <c r="BP17" s="741"/>
      <c r="BQ17" s="605">
        <f>'Лемпино РН-ЮНГ'!E18</f>
        <v>168</v>
      </c>
      <c r="BR17" s="723" t="e">
        <f t="shared" si="27"/>
        <v>#REF!</v>
      </c>
      <c r="BS17" s="724"/>
      <c r="BT17" s="93"/>
      <c r="BU17" s="93"/>
      <c r="BV17" s="93"/>
      <c r="BW17" s="93"/>
      <c r="BX17" s="2"/>
      <c r="BY17" s="2"/>
      <c r="BZ17" s="160"/>
      <c r="CA17" s="2"/>
      <c r="CB17" s="2"/>
      <c r="CC17" s="160"/>
    </row>
    <row r="18" spans="2:81" ht="19.5" customHeight="1">
      <c r="B18" s="70">
        <v>13</v>
      </c>
      <c r="C18" s="173">
        <f>РОВД!I19</f>
        <v>19491.107</v>
      </c>
      <c r="D18" s="178">
        <f t="shared" si="1"/>
        <v>28</v>
      </c>
      <c r="E18" s="175">
        <f>РОВД!K19</f>
        <v>6672.807</v>
      </c>
      <c r="F18" s="179">
        <f t="shared" si="2"/>
        <v>0</v>
      </c>
      <c r="G18" s="53"/>
      <c r="H18" s="395" t="e">
        <f>РОВД!#REF!</f>
        <v>#REF!</v>
      </c>
      <c r="I18" s="179" t="e">
        <f t="shared" si="3"/>
        <v>#REF!</v>
      </c>
      <c r="J18" s="395" t="e">
        <f>РОВД!#REF!</f>
        <v>#REF!</v>
      </c>
      <c r="K18" s="179" t="e">
        <f t="shared" si="4"/>
        <v>#REF!</v>
      </c>
      <c r="L18" s="395" t="e">
        <f>РОВД!#REF!</f>
        <v>#REF!</v>
      </c>
      <c r="M18" s="179" t="e">
        <f t="shared" si="5"/>
        <v>#REF!</v>
      </c>
      <c r="N18" s="395" t="e">
        <f>РОВД!#REF!</f>
        <v>#REF!</v>
      </c>
      <c r="O18" s="179" t="e">
        <f t="shared" si="6"/>
        <v>#REF!</v>
      </c>
      <c r="P18" s="395" t="e">
        <f>РОВД!#REF!</f>
        <v>#REF!</v>
      </c>
      <c r="Q18" s="179" t="e">
        <f t="shared" si="7"/>
        <v>#REF!</v>
      </c>
      <c r="R18" s="402">
        <v>13</v>
      </c>
      <c r="S18" s="395" t="e">
        <f>РОВД!#REF!</f>
        <v>#REF!</v>
      </c>
      <c r="T18" s="179" t="e">
        <f t="shared" si="8"/>
        <v>#REF!</v>
      </c>
      <c r="U18" s="395" t="e">
        <f>РОВД!#REF!</f>
        <v>#REF!</v>
      </c>
      <c r="V18" s="179" t="e">
        <f t="shared" si="9"/>
        <v>#REF!</v>
      </c>
      <c r="W18" s="395" t="e">
        <f>РОВД!#REF!</f>
        <v>#REF!</v>
      </c>
      <c r="X18" s="179" t="e">
        <f t="shared" si="10"/>
        <v>#REF!</v>
      </c>
      <c r="Y18" s="395" t="e">
        <f>РОВД!#REF!</f>
        <v>#REF!</v>
      </c>
      <c r="Z18" s="179" t="e">
        <f t="shared" si="11"/>
        <v>#REF!</v>
      </c>
      <c r="AA18" s="395" t="e">
        <f>РОВД!#REF!</f>
        <v>#REF!</v>
      </c>
      <c r="AB18" s="179" t="e">
        <f t="shared" si="12"/>
        <v>#REF!</v>
      </c>
      <c r="AC18" s="395" t="e">
        <f>РОВД!#REF!</f>
        <v>#REF!</v>
      </c>
      <c r="AD18" s="179" t="e">
        <f t="shared" si="13"/>
        <v>#REF!</v>
      </c>
      <c r="AE18" s="596" t="e">
        <f>РОВД!#REF!</f>
        <v>#REF!</v>
      </c>
      <c r="AF18" s="597" t="e">
        <f t="shared" si="14"/>
        <v>#REF!</v>
      </c>
      <c r="AG18" s="598" t="e">
        <f>РОВД!#REF!</f>
        <v>#REF!</v>
      </c>
      <c r="AH18" s="597" t="e">
        <f t="shared" si="14"/>
        <v>#REF!</v>
      </c>
      <c r="AI18" s="598" t="e">
        <f>РОВД!#REF!</f>
        <v>#REF!</v>
      </c>
      <c r="AJ18" s="179" t="e">
        <f t="shared" si="15"/>
        <v>#REF!</v>
      </c>
      <c r="AK18" s="395" t="e">
        <f>РОВД!#REF!</f>
        <v>#REF!</v>
      </c>
      <c r="AL18" s="179" t="e">
        <f t="shared" si="16"/>
        <v>#REF!</v>
      </c>
      <c r="AM18" s="395" t="e">
        <f>РОВД!#REF!</f>
        <v>#REF!</v>
      </c>
      <c r="AN18" s="179" t="e">
        <f t="shared" si="17"/>
        <v>#REF!</v>
      </c>
      <c r="AO18" s="395" t="e">
        <f>РОВД!#REF!</f>
        <v>#REF!</v>
      </c>
      <c r="AP18" s="179" t="e">
        <f t="shared" si="18"/>
        <v>#REF!</v>
      </c>
      <c r="AQ18" s="395" t="e">
        <f>РОВД!#REF!</f>
        <v>#REF!</v>
      </c>
      <c r="AR18" s="179" t="e">
        <f t="shared" si="0"/>
        <v>#REF!</v>
      </c>
      <c r="AS18" s="598" t="e">
        <f>РОВД!#REF!</f>
        <v>#REF!</v>
      </c>
      <c r="AT18" s="179" t="e">
        <f t="shared" si="19"/>
        <v>#REF!</v>
      </c>
      <c r="AU18" s="395" t="e">
        <f>РОВД!#REF!</f>
        <v>#REF!</v>
      </c>
      <c r="AV18" s="179" t="e">
        <f t="shared" si="20"/>
        <v>#REF!</v>
      </c>
      <c r="AW18" s="395" t="e">
        <f>РОВД!#REF!</f>
        <v>#REF!</v>
      </c>
      <c r="AX18" s="179" t="e">
        <f t="shared" si="21"/>
        <v>#REF!</v>
      </c>
      <c r="AY18" s="395" t="e">
        <f>РОВД!#REF!</f>
        <v>#REF!</v>
      </c>
      <c r="AZ18" s="179" t="e">
        <f t="shared" si="22"/>
        <v>#REF!</v>
      </c>
      <c r="BA18" s="395" t="e">
        <f>РОВД!#REF!</f>
        <v>#REF!</v>
      </c>
      <c r="BB18" s="179" t="e">
        <f t="shared" si="23"/>
        <v>#REF!</v>
      </c>
      <c r="BC18" s="395" t="e">
        <f>РОВД!#REF!</f>
        <v>#REF!</v>
      </c>
      <c r="BD18" s="179" t="e">
        <f t="shared" si="24"/>
        <v>#REF!</v>
      </c>
      <c r="BE18" s="190"/>
      <c r="BF18" s="190"/>
      <c r="BG18" s="406">
        <v>13</v>
      </c>
      <c r="BH18" s="395" t="e">
        <f>РОВД!#REF!</f>
        <v>#REF!</v>
      </c>
      <c r="BI18" s="179" t="e">
        <f t="shared" si="25"/>
        <v>#REF!</v>
      </c>
      <c r="BJ18" s="395" t="e">
        <f>РОВД!#REF!</f>
        <v>#REF!</v>
      </c>
      <c r="BK18" s="179" t="e">
        <f t="shared" si="28"/>
        <v>#REF!</v>
      </c>
      <c r="BL18" s="395" t="e">
        <f>РОВД!#REF!</f>
        <v>#REF!</v>
      </c>
      <c r="BM18" s="179" t="e">
        <f t="shared" si="26"/>
        <v>#REF!</v>
      </c>
      <c r="BN18" s="53"/>
      <c r="BO18" s="603">
        <f>'Лемпино РН-ЮНГ'!C19</f>
        <v>8023.77</v>
      </c>
      <c r="BP18" s="741"/>
      <c r="BQ18" s="605">
        <f>'Лемпино РН-ЮНГ'!E19</f>
        <v>144</v>
      </c>
      <c r="BR18" s="723" t="e">
        <f t="shared" si="27"/>
        <v>#REF!</v>
      </c>
      <c r="BS18" s="724"/>
      <c r="BT18" s="93"/>
      <c r="BU18" s="93"/>
      <c r="BV18" s="93"/>
      <c r="BW18" s="93"/>
      <c r="BX18" s="2"/>
      <c r="BY18" s="2"/>
      <c r="BZ18" s="160"/>
      <c r="CA18" s="2"/>
      <c r="CB18" s="2"/>
      <c r="CC18" s="160"/>
    </row>
    <row r="19" spans="2:81" ht="19.5" customHeight="1">
      <c r="B19" s="70">
        <v>14</v>
      </c>
      <c r="C19" s="173">
        <f>РОВД!I20</f>
        <v>19491.373</v>
      </c>
      <c r="D19" s="178">
        <f t="shared" si="1"/>
        <v>32</v>
      </c>
      <c r="E19" s="175">
        <f>РОВД!K20</f>
        <v>6672.807</v>
      </c>
      <c r="F19" s="179">
        <f t="shared" si="2"/>
        <v>0</v>
      </c>
      <c r="G19" s="53"/>
      <c r="H19" s="395" t="e">
        <f>РОВД!#REF!</f>
        <v>#REF!</v>
      </c>
      <c r="I19" s="179" t="e">
        <f t="shared" si="3"/>
        <v>#REF!</v>
      </c>
      <c r="J19" s="395" t="e">
        <f>РОВД!#REF!</f>
        <v>#REF!</v>
      </c>
      <c r="K19" s="179" t="e">
        <f t="shared" si="4"/>
        <v>#REF!</v>
      </c>
      <c r="L19" s="395" t="e">
        <f>РОВД!#REF!</f>
        <v>#REF!</v>
      </c>
      <c r="M19" s="179" t="e">
        <f t="shared" si="5"/>
        <v>#REF!</v>
      </c>
      <c r="N19" s="395" t="e">
        <f>РОВД!#REF!</f>
        <v>#REF!</v>
      </c>
      <c r="O19" s="179" t="e">
        <f t="shared" si="6"/>
        <v>#REF!</v>
      </c>
      <c r="P19" s="395" t="e">
        <f>РОВД!#REF!</f>
        <v>#REF!</v>
      </c>
      <c r="Q19" s="179" t="e">
        <f t="shared" si="7"/>
        <v>#REF!</v>
      </c>
      <c r="R19" s="402">
        <v>14</v>
      </c>
      <c r="S19" s="395" t="e">
        <f>РОВД!#REF!</f>
        <v>#REF!</v>
      </c>
      <c r="T19" s="179" t="e">
        <f t="shared" si="8"/>
        <v>#REF!</v>
      </c>
      <c r="U19" s="395" t="e">
        <f>РОВД!#REF!</f>
        <v>#REF!</v>
      </c>
      <c r="V19" s="179" t="e">
        <f t="shared" si="9"/>
        <v>#REF!</v>
      </c>
      <c r="W19" s="395" t="e">
        <f>РОВД!#REF!</f>
        <v>#REF!</v>
      </c>
      <c r="X19" s="179" t="e">
        <f t="shared" si="10"/>
        <v>#REF!</v>
      </c>
      <c r="Y19" s="395" t="e">
        <f>РОВД!#REF!</f>
        <v>#REF!</v>
      </c>
      <c r="Z19" s="179" t="e">
        <f t="shared" si="11"/>
        <v>#REF!</v>
      </c>
      <c r="AA19" s="395" t="e">
        <f>РОВД!#REF!</f>
        <v>#REF!</v>
      </c>
      <c r="AB19" s="179" t="e">
        <f t="shared" si="12"/>
        <v>#REF!</v>
      </c>
      <c r="AC19" s="395" t="e">
        <f>РОВД!#REF!</f>
        <v>#REF!</v>
      </c>
      <c r="AD19" s="179" t="e">
        <f t="shared" si="13"/>
        <v>#REF!</v>
      </c>
      <c r="AE19" s="596" t="e">
        <f>РОВД!#REF!</f>
        <v>#REF!</v>
      </c>
      <c r="AF19" s="597" t="e">
        <f t="shared" si="14"/>
        <v>#REF!</v>
      </c>
      <c r="AG19" s="598" t="e">
        <f>РОВД!#REF!</f>
        <v>#REF!</v>
      </c>
      <c r="AH19" s="597" t="e">
        <f t="shared" si="14"/>
        <v>#REF!</v>
      </c>
      <c r="AI19" s="598" t="e">
        <f>РОВД!#REF!</f>
        <v>#REF!</v>
      </c>
      <c r="AJ19" s="179" t="e">
        <f t="shared" si="15"/>
        <v>#REF!</v>
      </c>
      <c r="AK19" s="395" t="e">
        <f>РОВД!#REF!</f>
        <v>#REF!</v>
      </c>
      <c r="AL19" s="179" t="e">
        <f t="shared" si="16"/>
        <v>#REF!</v>
      </c>
      <c r="AM19" s="395" t="e">
        <f>РОВД!#REF!</f>
        <v>#REF!</v>
      </c>
      <c r="AN19" s="179" t="e">
        <f t="shared" si="17"/>
        <v>#REF!</v>
      </c>
      <c r="AO19" s="395" t="e">
        <f>РОВД!#REF!</f>
        <v>#REF!</v>
      </c>
      <c r="AP19" s="179" t="e">
        <f t="shared" si="18"/>
        <v>#REF!</v>
      </c>
      <c r="AQ19" s="395" t="e">
        <f>РОВД!#REF!</f>
        <v>#REF!</v>
      </c>
      <c r="AR19" s="179" t="e">
        <f t="shared" si="0"/>
        <v>#REF!</v>
      </c>
      <c r="AS19" s="598" t="e">
        <f>РОВД!#REF!</f>
        <v>#REF!</v>
      </c>
      <c r="AT19" s="179" t="e">
        <f t="shared" si="19"/>
        <v>#REF!</v>
      </c>
      <c r="AU19" s="395" t="e">
        <f>РОВД!#REF!</f>
        <v>#REF!</v>
      </c>
      <c r="AV19" s="179" t="e">
        <f t="shared" si="20"/>
        <v>#REF!</v>
      </c>
      <c r="AW19" s="395" t="e">
        <f>РОВД!#REF!</f>
        <v>#REF!</v>
      </c>
      <c r="AX19" s="179" t="e">
        <f t="shared" si="21"/>
        <v>#REF!</v>
      </c>
      <c r="AY19" s="395" t="e">
        <f>РОВД!#REF!</f>
        <v>#REF!</v>
      </c>
      <c r="AZ19" s="179" t="e">
        <f t="shared" si="22"/>
        <v>#REF!</v>
      </c>
      <c r="BA19" s="395" t="e">
        <f>РОВД!#REF!</f>
        <v>#REF!</v>
      </c>
      <c r="BB19" s="179" t="e">
        <f t="shared" si="23"/>
        <v>#REF!</v>
      </c>
      <c r="BC19" s="395" t="e">
        <f>РОВД!#REF!</f>
        <v>#REF!</v>
      </c>
      <c r="BD19" s="179" t="e">
        <f t="shared" si="24"/>
        <v>#REF!</v>
      </c>
      <c r="BE19" s="190"/>
      <c r="BF19" s="190"/>
      <c r="BG19" s="406">
        <v>14</v>
      </c>
      <c r="BH19" s="395" t="e">
        <f>РОВД!#REF!</f>
        <v>#REF!</v>
      </c>
      <c r="BI19" s="179" t="e">
        <f t="shared" si="25"/>
        <v>#REF!</v>
      </c>
      <c r="BJ19" s="395" t="e">
        <f>РОВД!#REF!</f>
        <v>#REF!</v>
      </c>
      <c r="BK19" s="179" t="e">
        <f t="shared" si="28"/>
        <v>#REF!</v>
      </c>
      <c r="BL19" s="395" t="e">
        <f>РОВД!#REF!</f>
        <v>#REF!</v>
      </c>
      <c r="BM19" s="179" t="e">
        <f t="shared" si="26"/>
        <v>#REF!</v>
      </c>
      <c r="BN19" s="53"/>
      <c r="BO19" s="603">
        <f>'Лемпино РН-ЮНГ'!C20</f>
        <v>8023.83</v>
      </c>
      <c r="BP19" s="741"/>
      <c r="BQ19" s="605">
        <f>'Лемпино РН-ЮНГ'!E20</f>
        <v>144</v>
      </c>
      <c r="BR19" s="723" t="e">
        <f t="shared" si="27"/>
        <v>#REF!</v>
      </c>
      <c r="BS19" s="724"/>
      <c r="BT19" s="93"/>
      <c r="BU19" s="93"/>
      <c r="BV19" s="93"/>
      <c r="BW19" s="93"/>
      <c r="BX19" s="2"/>
      <c r="BY19" s="2"/>
      <c r="BZ19" s="160"/>
      <c r="CA19" s="2"/>
      <c r="CB19" s="2"/>
      <c r="CC19" s="160"/>
    </row>
    <row r="20" spans="2:81" ht="19.5" customHeight="1">
      <c r="B20" s="70">
        <v>15</v>
      </c>
      <c r="C20" s="173">
        <f>РОВД!I21</f>
        <v>19491.699</v>
      </c>
      <c r="D20" s="178">
        <f t="shared" si="1"/>
        <v>39</v>
      </c>
      <c r="E20" s="175">
        <f>РОВД!K21</f>
        <v>6672.807</v>
      </c>
      <c r="F20" s="179">
        <f t="shared" si="2"/>
        <v>0</v>
      </c>
      <c r="G20" s="53"/>
      <c r="H20" s="395" t="e">
        <f>РОВД!#REF!</f>
        <v>#REF!</v>
      </c>
      <c r="I20" s="179" t="e">
        <f t="shared" si="3"/>
        <v>#REF!</v>
      </c>
      <c r="J20" s="395" t="e">
        <f>РОВД!#REF!</f>
        <v>#REF!</v>
      </c>
      <c r="K20" s="179" t="e">
        <f t="shared" si="4"/>
        <v>#REF!</v>
      </c>
      <c r="L20" s="395" t="e">
        <f>РОВД!#REF!</f>
        <v>#REF!</v>
      </c>
      <c r="M20" s="179" t="e">
        <f t="shared" si="5"/>
        <v>#REF!</v>
      </c>
      <c r="N20" s="395" t="e">
        <f>РОВД!#REF!</f>
        <v>#REF!</v>
      </c>
      <c r="O20" s="179" t="e">
        <f t="shared" si="6"/>
        <v>#REF!</v>
      </c>
      <c r="P20" s="395" t="e">
        <f>РОВД!#REF!</f>
        <v>#REF!</v>
      </c>
      <c r="Q20" s="179" t="e">
        <f t="shared" si="7"/>
        <v>#REF!</v>
      </c>
      <c r="R20" s="402">
        <v>15</v>
      </c>
      <c r="S20" s="395" t="e">
        <f>РОВД!#REF!</f>
        <v>#REF!</v>
      </c>
      <c r="T20" s="179" t="e">
        <f t="shared" si="8"/>
        <v>#REF!</v>
      </c>
      <c r="U20" s="395" t="e">
        <f>РОВД!#REF!</f>
        <v>#REF!</v>
      </c>
      <c r="V20" s="179" t="e">
        <f t="shared" si="9"/>
        <v>#REF!</v>
      </c>
      <c r="W20" s="395" t="e">
        <f>РОВД!#REF!</f>
        <v>#REF!</v>
      </c>
      <c r="X20" s="179" t="e">
        <f t="shared" si="10"/>
        <v>#REF!</v>
      </c>
      <c r="Y20" s="395" t="e">
        <f>РОВД!#REF!</f>
        <v>#REF!</v>
      </c>
      <c r="Z20" s="179" t="e">
        <f t="shared" si="11"/>
        <v>#REF!</v>
      </c>
      <c r="AA20" s="395" t="e">
        <f>РОВД!#REF!</f>
        <v>#REF!</v>
      </c>
      <c r="AB20" s="179" t="e">
        <f t="shared" si="12"/>
        <v>#REF!</v>
      </c>
      <c r="AC20" s="395" t="e">
        <f>РОВД!#REF!</f>
        <v>#REF!</v>
      </c>
      <c r="AD20" s="179" t="e">
        <f t="shared" si="13"/>
        <v>#REF!</v>
      </c>
      <c r="AE20" s="596" t="e">
        <f>РОВД!#REF!</f>
        <v>#REF!</v>
      </c>
      <c r="AF20" s="597" t="e">
        <f t="shared" si="14"/>
        <v>#REF!</v>
      </c>
      <c r="AG20" s="598" t="e">
        <f>РОВД!#REF!</f>
        <v>#REF!</v>
      </c>
      <c r="AH20" s="597" t="e">
        <f t="shared" si="14"/>
        <v>#REF!</v>
      </c>
      <c r="AI20" s="598" t="e">
        <f>РОВД!#REF!</f>
        <v>#REF!</v>
      </c>
      <c r="AJ20" s="179" t="e">
        <f t="shared" si="15"/>
        <v>#REF!</v>
      </c>
      <c r="AK20" s="395" t="e">
        <f>РОВД!#REF!</f>
        <v>#REF!</v>
      </c>
      <c r="AL20" s="179" t="e">
        <f t="shared" si="16"/>
        <v>#REF!</v>
      </c>
      <c r="AM20" s="395" t="e">
        <f>РОВД!#REF!</f>
        <v>#REF!</v>
      </c>
      <c r="AN20" s="179" t="e">
        <f t="shared" si="17"/>
        <v>#REF!</v>
      </c>
      <c r="AO20" s="395" t="e">
        <f>РОВД!#REF!</f>
        <v>#REF!</v>
      </c>
      <c r="AP20" s="179" t="e">
        <f t="shared" si="18"/>
        <v>#REF!</v>
      </c>
      <c r="AQ20" s="395" t="e">
        <f>РОВД!#REF!</f>
        <v>#REF!</v>
      </c>
      <c r="AR20" s="179" t="e">
        <f t="shared" si="0"/>
        <v>#REF!</v>
      </c>
      <c r="AS20" s="598" t="e">
        <f>РОВД!#REF!</f>
        <v>#REF!</v>
      </c>
      <c r="AT20" s="179" t="e">
        <f t="shared" si="19"/>
        <v>#REF!</v>
      </c>
      <c r="AU20" s="395" t="e">
        <f>РОВД!#REF!</f>
        <v>#REF!</v>
      </c>
      <c r="AV20" s="179" t="e">
        <f t="shared" si="20"/>
        <v>#REF!</v>
      </c>
      <c r="AW20" s="395" t="e">
        <f>РОВД!#REF!</f>
        <v>#REF!</v>
      </c>
      <c r="AX20" s="179" t="e">
        <f t="shared" si="21"/>
        <v>#REF!</v>
      </c>
      <c r="AY20" s="395" t="e">
        <f>РОВД!#REF!</f>
        <v>#REF!</v>
      </c>
      <c r="AZ20" s="179" t="e">
        <f t="shared" si="22"/>
        <v>#REF!</v>
      </c>
      <c r="BA20" s="395" t="e">
        <f>РОВД!#REF!</f>
        <v>#REF!</v>
      </c>
      <c r="BB20" s="179" t="e">
        <f t="shared" si="23"/>
        <v>#REF!</v>
      </c>
      <c r="BC20" s="395" t="e">
        <f>РОВД!#REF!</f>
        <v>#REF!</v>
      </c>
      <c r="BD20" s="179" t="e">
        <f t="shared" si="24"/>
        <v>#REF!</v>
      </c>
      <c r="BE20" s="190"/>
      <c r="BF20" s="190"/>
      <c r="BG20" s="406">
        <v>15</v>
      </c>
      <c r="BH20" s="395" t="e">
        <f>РОВД!#REF!</f>
        <v>#REF!</v>
      </c>
      <c r="BI20" s="179" t="e">
        <f t="shared" si="25"/>
        <v>#REF!</v>
      </c>
      <c r="BJ20" s="395" t="e">
        <f>РОВД!#REF!</f>
        <v>#REF!</v>
      </c>
      <c r="BK20" s="179" t="e">
        <f t="shared" si="28"/>
        <v>#REF!</v>
      </c>
      <c r="BL20" s="395" t="e">
        <f>РОВД!#REF!</f>
        <v>#REF!</v>
      </c>
      <c r="BM20" s="179" t="e">
        <f t="shared" si="26"/>
        <v>#REF!</v>
      </c>
      <c r="BN20" s="53"/>
      <c r="BO20" s="603">
        <f>'Лемпино РН-ЮНГ'!C21</f>
        <v>8023.9</v>
      </c>
      <c r="BP20" s="741"/>
      <c r="BQ20" s="605">
        <f>'Лемпино РН-ЮНГ'!E21</f>
        <v>168</v>
      </c>
      <c r="BR20" s="723" t="e">
        <f t="shared" si="27"/>
        <v>#REF!</v>
      </c>
      <c r="BS20" s="724"/>
      <c r="BT20" s="93"/>
      <c r="BU20" s="93"/>
      <c r="BV20" s="93"/>
      <c r="BW20" s="93"/>
      <c r="BX20" s="2"/>
      <c r="BY20" s="2"/>
      <c r="BZ20" s="160"/>
      <c r="CA20" s="2"/>
      <c r="CB20" s="2"/>
      <c r="CC20" s="160"/>
    </row>
    <row r="21" spans="2:81" ht="19.5" customHeight="1">
      <c r="B21" s="70">
        <v>16</v>
      </c>
      <c r="C21" s="173">
        <f>РОВД!I22</f>
        <v>19492.066</v>
      </c>
      <c r="D21" s="178">
        <f t="shared" si="1"/>
        <v>44</v>
      </c>
      <c r="E21" s="175">
        <f>РОВД!K22</f>
        <v>6672.807</v>
      </c>
      <c r="F21" s="179">
        <f t="shared" si="2"/>
        <v>0</v>
      </c>
      <c r="G21" s="53"/>
      <c r="H21" s="395" t="e">
        <f>РОВД!#REF!</f>
        <v>#REF!</v>
      </c>
      <c r="I21" s="179" t="e">
        <f t="shared" si="3"/>
        <v>#REF!</v>
      </c>
      <c r="J21" s="395" t="e">
        <f>РОВД!#REF!</f>
        <v>#REF!</v>
      </c>
      <c r="K21" s="179" t="e">
        <f t="shared" si="4"/>
        <v>#REF!</v>
      </c>
      <c r="L21" s="395" t="e">
        <f>РОВД!#REF!</f>
        <v>#REF!</v>
      </c>
      <c r="M21" s="179" t="e">
        <f t="shared" si="5"/>
        <v>#REF!</v>
      </c>
      <c r="N21" s="395" t="e">
        <f>РОВД!#REF!</f>
        <v>#REF!</v>
      </c>
      <c r="O21" s="179" t="e">
        <f t="shared" si="6"/>
        <v>#REF!</v>
      </c>
      <c r="P21" s="395" t="e">
        <f>РОВД!#REF!</f>
        <v>#REF!</v>
      </c>
      <c r="Q21" s="179" t="e">
        <f t="shared" si="7"/>
        <v>#REF!</v>
      </c>
      <c r="R21" s="402">
        <v>16</v>
      </c>
      <c r="S21" s="395" t="e">
        <f>РОВД!#REF!</f>
        <v>#REF!</v>
      </c>
      <c r="T21" s="179" t="e">
        <f t="shared" si="8"/>
        <v>#REF!</v>
      </c>
      <c r="U21" s="395" t="e">
        <f>РОВД!#REF!</f>
        <v>#REF!</v>
      </c>
      <c r="V21" s="179" t="e">
        <f t="shared" si="9"/>
        <v>#REF!</v>
      </c>
      <c r="W21" s="395" t="e">
        <f>РОВД!#REF!</f>
        <v>#REF!</v>
      </c>
      <c r="X21" s="179" t="e">
        <f t="shared" si="10"/>
        <v>#REF!</v>
      </c>
      <c r="Y21" s="395" t="e">
        <f>РОВД!#REF!</f>
        <v>#REF!</v>
      </c>
      <c r="Z21" s="179" t="e">
        <f t="shared" si="11"/>
        <v>#REF!</v>
      </c>
      <c r="AA21" s="395" t="e">
        <f>РОВД!#REF!</f>
        <v>#REF!</v>
      </c>
      <c r="AB21" s="179" t="e">
        <f t="shared" si="12"/>
        <v>#REF!</v>
      </c>
      <c r="AC21" s="395" t="e">
        <f>РОВД!#REF!</f>
        <v>#REF!</v>
      </c>
      <c r="AD21" s="179" t="e">
        <f t="shared" si="13"/>
        <v>#REF!</v>
      </c>
      <c r="AE21" s="596" t="e">
        <f>РОВД!#REF!</f>
        <v>#REF!</v>
      </c>
      <c r="AF21" s="597" t="e">
        <f t="shared" si="14"/>
        <v>#REF!</v>
      </c>
      <c r="AG21" s="598" t="e">
        <f>РОВД!#REF!</f>
        <v>#REF!</v>
      </c>
      <c r="AH21" s="597" t="e">
        <f t="shared" si="14"/>
        <v>#REF!</v>
      </c>
      <c r="AI21" s="598" t="e">
        <f>РОВД!#REF!</f>
        <v>#REF!</v>
      </c>
      <c r="AJ21" s="179" t="e">
        <f t="shared" si="15"/>
        <v>#REF!</v>
      </c>
      <c r="AK21" s="395" t="e">
        <f>РОВД!#REF!</f>
        <v>#REF!</v>
      </c>
      <c r="AL21" s="179" t="e">
        <f t="shared" si="16"/>
        <v>#REF!</v>
      </c>
      <c r="AM21" s="395" t="e">
        <f>РОВД!#REF!</f>
        <v>#REF!</v>
      </c>
      <c r="AN21" s="179" t="e">
        <f t="shared" si="17"/>
        <v>#REF!</v>
      </c>
      <c r="AO21" s="395" t="e">
        <f>РОВД!#REF!</f>
        <v>#REF!</v>
      </c>
      <c r="AP21" s="179" t="e">
        <f t="shared" si="18"/>
        <v>#REF!</v>
      </c>
      <c r="AQ21" s="395" t="e">
        <f>РОВД!#REF!</f>
        <v>#REF!</v>
      </c>
      <c r="AR21" s="179" t="e">
        <f t="shared" si="0"/>
        <v>#REF!</v>
      </c>
      <c r="AS21" s="598" t="e">
        <f>РОВД!#REF!</f>
        <v>#REF!</v>
      </c>
      <c r="AT21" s="179" t="e">
        <f t="shared" si="19"/>
        <v>#REF!</v>
      </c>
      <c r="AU21" s="395" t="e">
        <f>РОВД!#REF!</f>
        <v>#REF!</v>
      </c>
      <c r="AV21" s="179" t="e">
        <f t="shared" si="20"/>
        <v>#REF!</v>
      </c>
      <c r="AW21" s="395" t="e">
        <f>РОВД!#REF!</f>
        <v>#REF!</v>
      </c>
      <c r="AX21" s="179" t="e">
        <f t="shared" si="21"/>
        <v>#REF!</v>
      </c>
      <c r="AY21" s="395" t="e">
        <f>РОВД!#REF!</f>
        <v>#REF!</v>
      </c>
      <c r="AZ21" s="179" t="e">
        <f t="shared" si="22"/>
        <v>#REF!</v>
      </c>
      <c r="BA21" s="395" t="e">
        <f>РОВД!#REF!</f>
        <v>#REF!</v>
      </c>
      <c r="BB21" s="179" t="e">
        <f t="shared" si="23"/>
        <v>#REF!</v>
      </c>
      <c r="BC21" s="395" t="e">
        <f>РОВД!#REF!</f>
        <v>#REF!</v>
      </c>
      <c r="BD21" s="179" t="e">
        <f t="shared" si="24"/>
        <v>#REF!</v>
      </c>
      <c r="BE21" s="190"/>
      <c r="BF21" s="190"/>
      <c r="BG21" s="406">
        <v>16</v>
      </c>
      <c r="BH21" s="395" t="e">
        <f>РОВД!#REF!</f>
        <v>#REF!</v>
      </c>
      <c r="BI21" s="179" t="e">
        <f t="shared" si="25"/>
        <v>#REF!</v>
      </c>
      <c r="BJ21" s="395" t="e">
        <f>РОВД!#REF!</f>
        <v>#REF!</v>
      </c>
      <c r="BK21" s="179" t="e">
        <f t="shared" si="28"/>
        <v>#REF!</v>
      </c>
      <c r="BL21" s="395" t="e">
        <f>РОВД!#REF!</f>
        <v>#REF!</v>
      </c>
      <c r="BM21" s="179" t="e">
        <f t="shared" si="26"/>
        <v>#REF!</v>
      </c>
      <c r="BN21" s="53"/>
      <c r="BO21" s="603">
        <f>'Лемпино РН-ЮНГ'!C22</f>
        <v>8023.96</v>
      </c>
      <c r="BP21" s="741"/>
      <c r="BQ21" s="605">
        <f>'Лемпино РН-ЮНГ'!E22</f>
        <v>144</v>
      </c>
      <c r="BR21" s="723" t="e">
        <f t="shared" si="27"/>
        <v>#REF!</v>
      </c>
      <c r="BS21" s="724"/>
      <c r="BT21" s="93"/>
      <c r="BU21" s="93"/>
      <c r="BV21" s="93"/>
      <c r="BW21" s="93"/>
      <c r="BX21" s="2"/>
      <c r="BY21" s="2"/>
      <c r="BZ21" s="160"/>
      <c r="CA21" s="2"/>
      <c r="CB21" s="2"/>
      <c r="CC21" s="160"/>
    </row>
    <row r="22" spans="2:81" ht="19.5" customHeight="1">
      <c r="B22" s="70">
        <v>17</v>
      </c>
      <c r="C22" s="173">
        <f>РОВД!I23</f>
        <v>19492.451</v>
      </c>
      <c r="D22" s="178">
        <f t="shared" si="1"/>
        <v>46</v>
      </c>
      <c r="E22" s="175">
        <f>РОВД!K23</f>
        <v>6672.807</v>
      </c>
      <c r="F22" s="179">
        <f t="shared" si="2"/>
        <v>0</v>
      </c>
      <c r="G22" s="53"/>
      <c r="H22" s="395" t="e">
        <f>РОВД!#REF!</f>
        <v>#REF!</v>
      </c>
      <c r="I22" s="179" t="e">
        <f t="shared" si="3"/>
        <v>#REF!</v>
      </c>
      <c r="J22" s="395" t="e">
        <f>РОВД!#REF!</f>
        <v>#REF!</v>
      </c>
      <c r="K22" s="179" t="e">
        <f t="shared" si="4"/>
        <v>#REF!</v>
      </c>
      <c r="L22" s="395" t="e">
        <f>РОВД!#REF!</f>
        <v>#REF!</v>
      </c>
      <c r="M22" s="179" t="e">
        <f t="shared" si="5"/>
        <v>#REF!</v>
      </c>
      <c r="N22" s="395" t="e">
        <f>РОВД!#REF!</f>
        <v>#REF!</v>
      </c>
      <c r="O22" s="179" t="e">
        <f t="shared" si="6"/>
        <v>#REF!</v>
      </c>
      <c r="P22" s="395" t="e">
        <f>РОВД!#REF!</f>
        <v>#REF!</v>
      </c>
      <c r="Q22" s="179" t="e">
        <f t="shared" si="7"/>
        <v>#REF!</v>
      </c>
      <c r="R22" s="402">
        <v>17</v>
      </c>
      <c r="S22" s="395" t="e">
        <f>РОВД!#REF!</f>
        <v>#REF!</v>
      </c>
      <c r="T22" s="179" t="e">
        <f t="shared" si="8"/>
        <v>#REF!</v>
      </c>
      <c r="U22" s="395" t="e">
        <f>РОВД!#REF!</f>
        <v>#REF!</v>
      </c>
      <c r="V22" s="179" t="e">
        <f t="shared" si="9"/>
        <v>#REF!</v>
      </c>
      <c r="W22" s="395" t="e">
        <f>РОВД!#REF!</f>
        <v>#REF!</v>
      </c>
      <c r="X22" s="179" t="e">
        <f t="shared" si="10"/>
        <v>#REF!</v>
      </c>
      <c r="Y22" s="395" t="e">
        <f>РОВД!#REF!</f>
        <v>#REF!</v>
      </c>
      <c r="Z22" s="179" t="e">
        <f t="shared" si="11"/>
        <v>#REF!</v>
      </c>
      <c r="AA22" s="395" t="e">
        <f>РОВД!#REF!</f>
        <v>#REF!</v>
      </c>
      <c r="AB22" s="179" t="e">
        <f t="shared" si="12"/>
        <v>#REF!</v>
      </c>
      <c r="AC22" s="395" t="e">
        <f>РОВД!#REF!</f>
        <v>#REF!</v>
      </c>
      <c r="AD22" s="179" t="e">
        <f t="shared" si="13"/>
        <v>#REF!</v>
      </c>
      <c r="AE22" s="596" t="e">
        <f>РОВД!#REF!</f>
        <v>#REF!</v>
      </c>
      <c r="AF22" s="597" t="e">
        <f t="shared" si="14"/>
        <v>#REF!</v>
      </c>
      <c r="AG22" s="598" t="e">
        <f>РОВД!#REF!</f>
        <v>#REF!</v>
      </c>
      <c r="AH22" s="597" t="e">
        <f t="shared" si="14"/>
        <v>#REF!</v>
      </c>
      <c r="AI22" s="598" t="e">
        <f>РОВД!#REF!</f>
        <v>#REF!</v>
      </c>
      <c r="AJ22" s="179" t="e">
        <f t="shared" si="15"/>
        <v>#REF!</v>
      </c>
      <c r="AK22" s="395" t="e">
        <f>РОВД!#REF!</f>
        <v>#REF!</v>
      </c>
      <c r="AL22" s="179" t="e">
        <f t="shared" si="16"/>
        <v>#REF!</v>
      </c>
      <c r="AM22" s="395" t="e">
        <f>РОВД!#REF!</f>
        <v>#REF!</v>
      </c>
      <c r="AN22" s="179" t="e">
        <f t="shared" si="17"/>
        <v>#REF!</v>
      </c>
      <c r="AO22" s="395" t="e">
        <f>РОВД!#REF!</f>
        <v>#REF!</v>
      </c>
      <c r="AP22" s="179" t="e">
        <f t="shared" si="18"/>
        <v>#REF!</v>
      </c>
      <c r="AQ22" s="395" t="e">
        <f>РОВД!#REF!</f>
        <v>#REF!</v>
      </c>
      <c r="AR22" s="179" t="e">
        <f t="shared" si="0"/>
        <v>#REF!</v>
      </c>
      <c r="AS22" s="598" t="e">
        <f>РОВД!#REF!</f>
        <v>#REF!</v>
      </c>
      <c r="AT22" s="179" t="e">
        <f t="shared" si="19"/>
        <v>#REF!</v>
      </c>
      <c r="AU22" s="395" t="e">
        <f>РОВД!#REF!</f>
        <v>#REF!</v>
      </c>
      <c r="AV22" s="179" t="e">
        <f t="shared" si="20"/>
        <v>#REF!</v>
      </c>
      <c r="AW22" s="395" t="e">
        <f>РОВД!#REF!</f>
        <v>#REF!</v>
      </c>
      <c r="AX22" s="179" t="e">
        <f t="shared" si="21"/>
        <v>#REF!</v>
      </c>
      <c r="AY22" s="395" t="e">
        <f>РОВД!#REF!</f>
        <v>#REF!</v>
      </c>
      <c r="AZ22" s="179" t="e">
        <f t="shared" si="22"/>
        <v>#REF!</v>
      </c>
      <c r="BA22" s="395" t="e">
        <f>РОВД!#REF!</f>
        <v>#REF!</v>
      </c>
      <c r="BB22" s="179" t="e">
        <f t="shared" si="23"/>
        <v>#REF!</v>
      </c>
      <c r="BC22" s="395" t="e">
        <f>РОВД!#REF!</f>
        <v>#REF!</v>
      </c>
      <c r="BD22" s="179" t="e">
        <f t="shared" si="24"/>
        <v>#REF!</v>
      </c>
      <c r="BE22" s="190"/>
      <c r="BF22" s="190"/>
      <c r="BG22" s="406">
        <v>17</v>
      </c>
      <c r="BH22" s="395" t="e">
        <f>РОВД!#REF!</f>
        <v>#REF!</v>
      </c>
      <c r="BI22" s="179" t="e">
        <f t="shared" si="25"/>
        <v>#REF!</v>
      </c>
      <c r="BJ22" s="395" t="e">
        <f>РОВД!#REF!</f>
        <v>#REF!</v>
      </c>
      <c r="BK22" s="179" t="e">
        <f t="shared" si="28"/>
        <v>#REF!</v>
      </c>
      <c r="BL22" s="395" t="e">
        <f>РОВД!#REF!</f>
        <v>#REF!</v>
      </c>
      <c r="BM22" s="179" t="e">
        <f t="shared" si="26"/>
        <v>#REF!</v>
      </c>
      <c r="BN22" s="53"/>
      <c r="BO22" s="603">
        <f>'Лемпино РН-ЮНГ'!C23</f>
        <v>8024.02</v>
      </c>
      <c r="BP22" s="741"/>
      <c r="BQ22" s="605">
        <f>'Лемпино РН-ЮНГ'!E23</f>
        <v>144</v>
      </c>
      <c r="BR22" s="723" t="e">
        <f t="shared" si="27"/>
        <v>#REF!</v>
      </c>
      <c r="BS22" s="724"/>
      <c r="BT22" s="93"/>
      <c r="BU22" s="93"/>
      <c r="BV22" s="93"/>
      <c r="BW22" s="93"/>
      <c r="BX22" s="2"/>
      <c r="BY22" s="2"/>
      <c r="BZ22" s="160"/>
      <c r="CA22" s="2"/>
      <c r="CB22" s="2"/>
      <c r="CC22" s="160"/>
    </row>
    <row r="23" spans="2:81" ht="19.5" customHeight="1">
      <c r="B23" s="70">
        <v>18</v>
      </c>
      <c r="C23" s="173">
        <f>РОВД!I24</f>
        <v>19492.852</v>
      </c>
      <c r="D23" s="178">
        <f t="shared" si="1"/>
        <v>48</v>
      </c>
      <c r="E23" s="175">
        <f>РОВД!K24</f>
        <v>6672.807</v>
      </c>
      <c r="F23" s="179">
        <f t="shared" si="2"/>
        <v>0</v>
      </c>
      <c r="G23" s="53"/>
      <c r="H23" s="395" t="e">
        <f>РОВД!#REF!</f>
        <v>#REF!</v>
      </c>
      <c r="I23" s="179" t="e">
        <f t="shared" si="3"/>
        <v>#REF!</v>
      </c>
      <c r="J23" s="395" t="e">
        <f>РОВД!#REF!</f>
        <v>#REF!</v>
      </c>
      <c r="K23" s="179" t="e">
        <f t="shared" si="4"/>
        <v>#REF!</v>
      </c>
      <c r="L23" s="395" t="e">
        <f>РОВД!#REF!</f>
        <v>#REF!</v>
      </c>
      <c r="M23" s="179" t="e">
        <f t="shared" si="5"/>
        <v>#REF!</v>
      </c>
      <c r="N23" s="395" t="e">
        <f>РОВД!#REF!</f>
        <v>#REF!</v>
      </c>
      <c r="O23" s="179" t="e">
        <f t="shared" si="6"/>
        <v>#REF!</v>
      </c>
      <c r="P23" s="395" t="e">
        <f>РОВД!#REF!</f>
        <v>#REF!</v>
      </c>
      <c r="Q23" s="179" t="e">
        <f t="shared" si="7"/>
        <v>#REF!</v>
      </c>
      <c r="R23" s="402">
        <v>18</v>
      </c>
      <c r="S23" s="395" t="e">
        <f>РОВД!#REF!</f>
        <v>#REF!</v>
      </c>
      <c r="T23" s="179" t="e">
        <f t="shared" si="8"/>
        <v>#REF!</v>
      </c>
      <c r="U23" s="395" t="e">
        <f>РОВД!#REF!</f>
        <v>#REF!</v>
      </c>
      <c r="V23" s="179" t="e">
        <f t="shared" si="9"/>
        <v>#REF!</v>
      </c>
      <c r="W23" s="395" t="e">
        <f>РОВД!#REF!</f>
        <v>#REF!</v>
      </c>
      <c r="X23" s="179" t="e">
        <f t="shared" si="10"/>
        <v>#REF!</v>
      </c>
      <c r="Y23" s="395" t="e">
        <f>РОВД!#REF!</f>
        <v>#REF!</v>
      </c>
      <c r="Z23" s="179" t="e">
        <f t="shared" si="11"/>
        <v>#REF!</v>
      </c>
      <c r="AA23" s="395" t="e">
        <f>РОВД!#REF!</f>
        <v>#REF!</v>
      </c>
      <c r="AB23" s="179" t="e">
        <f t="shared" si="12"/>
        <v>#REF!</v>
      </c>
      <c r="AC23" s="395" t="e">
        <f>РОВД!#REF!</f>
        <v>#REF!</v>
      </c>
      <c r="AD23" s="179" t="e">
        <f t="shared" si="13"/>
        <v>#REF!</v>
      </c>
      <c r="AE23" s="596" t="e">
        <f>РОВД!#REF!</f>
        <v>#REF!</v>
      </c>
      <c r="AF23" s="597" t="e">
        <f t="shared" si="14"/>
        <v>#REF!</v>
      </c>
      <c r="AG23" s="598" t="e">
        <f>РОВД!#REF!</f>
        <v>#REF!</v>
      </c>
      <c r="AH23" s="597" t="e">
        <f t="shared" si="14"/>
        <v>#REF!</v>
      </c>
      <c r="AI23" s="598" t="e">
        <f>РОВД!#REF!</f>
        <v>#REF!</v>
      </c>
      <c r="AJ23" s="179" t="e">
        <f t="shared" si="15"/>
        <v>#REF!</v>
      </c>
      <c r="AK23" s="395" t="e">
        <f>РОВД!#REF!</f>
        <v>#REF!</v>
      </c>
      <c r="AL23" s="179" t="e">
        <f t="shared" si="16"/>
        <v>#REF!</v>
      </c>
      <c r="AM23" s="395" t="e">
        <f>РОВД!#REF!</f>
        <v>#REF!</v>
      </c>
      <c r="AN23" s="179" t="e">
        <f t="shared" si="17"/>
        <v>#REF!</v>
      </c>
      <c r="AO23" s="395" t="e">
        <f>РОВД!#REF!</f>
        <v>#REF!</v>
      </c>
      <c r="AP23" s="179" t="e">
        <f t="shared" si="18"/>
        <v>#REF!</v>
      </c>
      <c r="AQ23" s="395" t="e">
        <f>РОВД!#REF!</f>
        <v>#REF!</v>
      </c>
      <c r="AR23" s="179" t="e">
        <f t="shared" si="0"/>
        <v>#REF!</v>
      </c>
      <c r="AS23" s="598" t="e">
        <f>РОВД!#REF!</f>
        <v>#REF!</v>
      </c>
      <c r="AT23" s="179" t="e">
        <f t="shared" si="19"/>
        <v>#REF!</v>
      </c>
      <c r="AU23" s="395" t="e">
        <f>РОВД!#REF!</f>
        <v>#REF!</v>
      </c>
      <c r="AV23" s="179" t="e">
        <f t="shared" si="20"/>
        <v>#REF!</v>
      </c>
      <c r="AW23" s="395" t="e">
        <f>РОВД!#REF!</f>
        <v>#REF!</v>
      </c>
      <c r="AX23" s="179" t="e">
        <f t="shared" si="21"/>
        <v>#REF!</v>
      </c>
      <c r="AY23" s="395" t="e">
        <f>РОВД!#REF!</f>
        <v>#REF!</v>
      </c>
      <c r="AZ23" s="179" t="e">
        <f t="shared" si="22"/>
        <v>#REF!</v>
      </c>
      <c r="BA23" s="395" t="e">
        <f>РОВД!#REF!</f>
        <v>#REF!</v>
      </c>
      <c r="BB23" s="179" t="e">
        <f t="shared" si="23"/>
        <v>#REF!</v>
      </c>
      <c r="BC23" s="395" t="e">
        <f>РОВД!#REF!</f>
        <v>#REF!</v>
      </c>
      <c r="BD23" s="179" t="e">
        <f t="shared" si="24"/>
        <v>#REF!</v>
      </c>
      <c r="BE23" s="190"/>
      <c r="BF23" s="190"/>
      <c r="BG23" s="406">
        <v>18</v>
      </c>
      <c r="BH23" s="395" t="e">
        <f>РОВД!#REF!</f>
        <v>#REF!</v>
      </c>
      <c r="BI23" s="179" t="e">
        <f t="shared" si="25"/>
        <v>#REF!</v>
      </c>
      <c r="BJ23" s="395" t="e">
        <f>РОВД!#REF!</f>
        <v>#REF!</v>
      </c>
      <c r="BK23" s="179" t="e">
        <f t="shared" si="28"/>
        <v>#REF!</v>
      </c>
      <c r="BL23" s="395" t="e">
        <f>РОВД!#REF!</f>
        <v>#REF!</v>
      </c>
      <c r="BM23" s="179" t="e">
        <f t="shared" si="26"/>
        <v>#REF!</v>
      </c>
      <c r="BN23" s="53"/>
      <c r="BO23" s="603">
        <f>'Лемпино РН-ЮНГ'!C24</f>
        <v>8024.08</v>
      </c>
      <c r="BP23" s="741"/>
      <c r="BQ23" s="605">
        <f>'Лемпино РН-ЮНГ'!E24</f>
        <v>144</v>
      </c>
      <c r="BR23" s="723" t="e">
        <f t="shared" si="27"/>
        <v>#REF!</v>
      </c>
      <c r="BS23" s="724"/>
      <c r="BT23" s="93"/>
      <c r="BU23" s="93"/>
      <c r="BV23" s="93"/>
      <c r="BW23" s="93"/>
      <c r="BX23" s="2"/>
      <c r="BY23" s="2"/>
      <c r="BZ23" s="160"/>
      <c r="CA23" s="2"/>
      <c r="CB23" s="2"/>
      <c r="CC23" s="160"/>
    </row>
    <row r="24" spans="2:81" ht="19.5" customHeight="1">
      <c r="B24" s="70">
        <v>19</v>
      </c>
      <c r="C24" s="173">
        <f>РОВД!I25</f>
        <v>19493.246</v>
      </c>
      <c r="D24" s="178">
        <f t="shared" si="1"/>
        <v>47</v>
      </c>
      <c r="E24" s="175">
        <f>РОВД!K25</f>
        <v>6672.807</v>
      </c>
      <c r="F24" s="179">
        <f t="shared" si="2"/>
        <v>0</v>
      </c>
      <c r="G24" s="53"/>
      <c r="H24" s="395" t="e">
        <f>РОВД!#REF!</f>
        <v>#REF!</v>
      </c>
      <c r="I24" s="179" t="e">
        <f t="shared" si="3"/>
        <v>#REF!</v>
      </c>
      <c r="J24" s="395" t="e">
        <f>РОВД!#REF!</f>
        <v>#REF!</v>
      </c>
      <c r="K24" s="179" t="e">
        <f t="shared" si="4"/>
        <v>#REF!</v>
      </c>
      <c r="L24" s="395" t="e">
        <f>РОВД!#REF!</f>
        <v>#REF!</v>
      </c>
      <c r="M24" s="179" t="e">
        <f t="shared" si="5"/>
        <v>#REF!</v>
      </c>
      <c r="N24" s="395" t="e">
        <f>РОВД!#REF!</f>
        <v>#REF!</v>
      </c>
      <c r="O24" s="179" t="e">
        <f t="shared" si="6"/>
        <v>#REF!</v>
      </c>
      <c r="P24" s="395" t="e">
        <f>РОВД!#REF!</f>
        <v>#REF!</v>
      </c>
      <c r="Q24" s="179" t="e">
        <f t="shared" si="7"/>
        <v>#REF!</v>
      </c>
      <c r="R24" s="402">
        <v>19</v>
      </c>
      <c r="S24" s="395" t="e">
        <f>РОВД!#REF!</f>
        <v>#REF!</v>
      </c>
      <c r="T24" s="179" t="e">
        <f t="shared" si="8"/>
        <v>#REF!</v>
      </c>
      <c r="U24" s="395" t="e">
        <f>РОВД!#REF!</f>
        <v>#REF!</v>
      </c>
      <c r="V24" s="179" t="e">
        <f t="shared" si="9"/>
        <v>#REF!</v>
      </c>
      <c r="W24" s="395" t="e">
        <f>РОВД!#REF!</f>
        <v>#REF!</v>
      </c>
      <c r="X24" s="179" t="e">
        <f t="shared" si="10"/>
        <v>#REF!</v>
      </c>
      <c r="Y24" s="395" t="e">
        <f>РОВД!#REF!</f>
        <v>#REF!</v>
      </c>
      <c r="Z24" s="179" t="e">
        <f t="shared" si="11"/>
        <v>#REF!</v>
      </c>
      <c r="AA24" s="395" t="e">
        <f>РОВД!#REF!</f>
        <v>#REF!</v>
      </c>
      <c r="AB24" s="179" t="e">
        <f t="shared" si="12"/>
        <v>#REF!</v>
      </c>
      <c r="AC24" s="395" t="e">
        <f>РОВД!#REF!</f>
        <v>#REF!</v>
      </c>
      <c r="AD24" s="179" t="e">
        <f t="shared" si="13"/>
        <v>#REF!</v>
      </c>
      <c r="AE24" s="596" t="e">
        <f>РОВД!#REF!</f>
        <v>#REF!</v>
      </c>
      <c r="AF24" s="597" t="e">
        <f t="shared" si="14"/>
        <v>#REF!</v>
      </c>
      <c r="AG24" s="598" t="e">
        <f>РОВД!#REF!</f>
        <v>#REF!</v>
      </c>
      <c r="AH24" s="597" t="e">
        <f t="shared" si="14"/>
        <v>#REF!</v>
      </c>
      <c r="AI24" s="598" t="e">
        <f>РОВД!#REF!</f>
        <v>#REF!</v>
      </c>
      <c r="AJ24" s="179" t="e">
        <f t="shared" si="15"/>
        <v>#REF!</v>
      </c>
      <c r="AK24" s="395" t="e">
        <f>РОВД!#REF!</f>
        <v>#REF!</v>
      </c>
      <c r="AL24" s="179" t="e">
        <f t="shared" si="16"/>
        <v>#REF!</v>
      </c>
      <c r="AM24" s="395" t="e">
        <f>РОВД!#REF!</f>
        <v>#REF!</v>
      </c>
      <c r="AN24" s="179" t="e">
        <f t="shared" si="17"/>
        <v>#REF!</v>
      </c>
      <c r="AO24" s="395" t="e">
        <f>РОВД!#REF!</f>
        <v>#REF!</v>
      </c>
      <c r="AP24" s="179" t="e">
        <f t="shared" si="18"/>
        <v>#REF!</v>
      </c>
      <c r="AQ24" s="395" t="e">
        <f>РОВД!#REF!</f>
        <v>#REF!</v>
      </c>
      <c r="AR24" s="179" t="e">
        <f t="shared" si="0"/>
        <v>#REF!</v>
      </c>
      <c r="AS24" s="598" t="e">
        <f>РОВД!#REF!</f>
        <v>#REF!</v>
      </c>
      <c r="AT24" s="179" t="e">
        <f t="shared" si="19"/>
        <v>#REF!</v>
      </c>
      <c r="AU24" s="395" t="e">
        <f>РОВД!#REF!</f>
        <v>#REF!</v>
      </c>
      <c r="AV24" s="179" t="e">
        <f t="shared" si="20"/>
        <v>#REF!</v>
      </c>
      <c r="AW24" s="395" t="e">
        <f>РОВД!#REF!</f>
        <v>#REF!</v>
      </c>
      <c r="AX24" s="179" t="e">
        <f t="shared" si="21"/>
        <v>#REF!</v>
      </c>
      <c r="AY24" s="395" t="e">
        <f>РОВД!#REF!</f>
        <v>#REF!</v>
      </c>
      <c r="AZ24" s="179" t="e">
        <f t="shared" si="22"/>
        <v>#REF!</v>
      </c>
      <c r="BA24" s="395" t="e">
        <f>РОВД!#REF!</f>
        <v>#REF!</v>
      </c>
      <c r="BB24" s="179" t="e">
        <f t="shared" si="23"/>
        <v>#REF!</v>
      </c>
      <c r="BC24" s="395" t="e">
        <f>РОВД!#REF!</f>
        <v>#REF!</v>
      </c>
      <c r="BD24" s="179" t="e">
        <f t="shared" si="24"/>
        <v>#REF!</v>
      </c>
      <c r="BE24" s="190"/>
      <c r="BF24" s="190"/>
      <c r="BG24" s="406">
        <v>19</v>
      </c>
      <c r="BH24" s="395" t="e">
        <f>РОВД!#REF!</f>
        <v>#REF!</v>
      </c>
      <c r="BI24" s="179" t="e">
        <f t="shared" si="25"/>
        <v>#REF!</v>
      </c>
      <c r="BJ24" s="395" t="e">
        <f>РОВД!#REF!</f>
        <v>#REF!</v>
      </c>
      <c r="BK24" s="179" t="e">
        <f t="shared" si="28"/>
        <v>#REF!</v>
      </c>
      <c r="BL24" s="395" t="e">
        <f>РОВД!#REF!</f>
        <v>#REF!</v>
      </c>
      <c r="BM24" s="179" t="e">
        <f t="shared" si="26"/>
        <v>#REF!</v>
      </c>
      <c r="BN24" s="53"/>
      <c r="BO24" s="603">
        <f>'Лемпино РН-ЮНГ'!C25</f>
        <v>8024.14</v>
      </c>
      <c r="BP24" s="741"/>
      <c r="BQ24" s="605">
        <f>'Лемпино РН-ЮНГ'!E25</f>
        <v>144</v>
      </c>
      <c r="BR24" s="723" t="e">
        <f t="shared" si="27"/>
        <v>#REF!</v>
      </c>
      <c r="BS24" s="724"/>
      <c r="BT24" s="93"/>
      <c r="BU24" s="93"/>
      <c r="BV24" s="93"/>
      <c r="BW24" s="93"/>
      <c r="BX24" s="2"/>
      <c r="BY24" s="2"/>
      <c r="BZ24" s="160"/>
      <c r="CA24" s="2"/>
      <c r="CB24" s="2"/>
      <c r="CC24" s="160"/>
    </row>
    <row r="25" spans="2:81" ht="19.5" customHeight="1">
      <c r="B25" s="70">
        <v>20</v>
      </c>
      <c r="C25" s="173">
        <f>РОВД!I26</f>
        <v>19493.646</v>
      </c>
      <c r="D25" s="178">
        <f t="shared" si="1"/>
        <v>48</v>
      </c>
      <c r="E25" s="175">
        <f>РОВД!K26</f>
        <v>6672.807</v>
      </c>
      <c r="F25" s="179">
        <f t="shared" si="2"/>
        <v>0</v>
      </c>
      <c r="G25" s="53"/>
      <c r="H25" s="395" t="e">
        <f>РОВД!#REF!</f>
        <v>#REF!</v>
      </c>
      <c r="I25" s="179" t="e">
        <f t="shared" si="3"/>
        <v>#REF!</v>
      </c>
      <c r="J25" s="395" t="e">
        <f>РОВД!#REF!</f>
        <v>#REF!</v>
      </c>
      <c r="K25" s="179" t="e">
        <f t="shared" si="4"/>
        <v>#REF!</v>
      </c>
      <c r="L25" s="395" t="e">
        <f>РОВД!#REF!</f>
        <v>#REF!</v>
      </c>
      <c r="M25" s="179" t="e">
        <f t="shared" si="5"/>
        <v>#REF!</v>
      </c>
      <c r="N25" s="395" t="e">
        <f>РОВД!#REF!</f>
        <v>#REF!</v>
      </c>
      <c r="O25" s="179" t="e">
        <f t="shared" si="6"/>
        <v>#REF!</v>
      </c>
      <c r="P25" s="395" t="e">
        <f>РОВД!#REF!</f>
        <v>#REF!</v>
      </c>
      <c r="Q25" s="179" t="e">
        <f t="shared" si="7"/>
        <v>#REF!</v>
      </c>
      <c r="R25" s="402">
        <v>20</v>
      </c>
      <c r="S25" s="395" t="e">
        <f>РОВД!#REF!</f>
        <v>#REF!</v>
      </c>
      <c r="T25" s="179" t="e">
        <f t="shared" si="8"/>
        <v>#REF!</v>
      </c>
      <c r="U25" s="395" t="e">
        <f>РОВД!#REF!</f>
        <v>#REF!</v>
      </c>
      <c r="V25" s="179" t="e">
        <f t="shared" si="9"/>
        <v>#REF!</v>
      </c>
      <c r="W25" s="395" t="e">
        <f>РОВД!#REF!</f>
        <v>#REF!</v>
      </c>
      <c r="X25" s="179" t="e">
        <f t="shared" si="10"/>
        <v>#REF!</v>
      </c>
      <c r="Y25" s="395" t="e">
        <f>РОВД!#REF!</f>
        <v>#REF!</v>
      </c>
      <c r="Z25" s="179" t="e">
        <f t="shared" si="11"/>
        <v>#REF!</v>
      </c>
      <c r="AA25" s="395" t="e">
        <f>РОВД!#REF!</f>
        <v>#REF!</v>
      </c>
      <c r="AB25" s="179" t="e">
        <f t="shared" si="12"/>
        <v>#REF!</v>
      </c>
      <c r="AC25" s="395" t="e">
        <f>РОВД!#REF!</f>
        <v>#REF!</v>
      </c>
      <c r="AD25" s="179" t="e">
        <f t="shared" si="13"/>
        <v>#REF!</v>
      </c>
      <c r="AE25" s="596" t="e">
        <f>РОВД!#REF!</f>
        <v>#REF!</v>
      </c>
      <c r="AF25" s="597" t="e">
        <f t="shared" si="14"/>
        <v>#REF!</v>
      </c>
      <c r="AG25" s="598" t="e">
        <f>РОВД!#REF!</f>
        <v>#REF!</v>
      </c>
      <c r="AH25" s="597" t="e">
        <f t="shared" si="14"/>
        <v>#REF!</v>
      </c>
      <c r="AI25" s="598" t="e">
        <f>РОВД!#REF!</f>
        <v>#REF!</v>
      </c>
      <c r="AJ25" s="179" t="e">
        <f t="shared" si="15"/>
        <v>#REF!</v>
      </c>
      <c r="AK25" s="395" t="e">
        <f>РОВД!#REF!</f>
        <v>#REF!</v>
      </c>
      <c r="AL25" s="179" t="e">
        <f t="shared" si="16"/>
        <v>#REF!</v>
      </c>
      <c r="AM25" s="395" t="e">
        <f>РОВД!#REF!</f>
        <v>#REF!</v>
      </c>
      <c r="AN25" s="179" t="e">
        <f t="shared" si="17"/>
        <v>#REF!</v>
      </c>
      <c r="AO25" s="395" t="e">
        <f>РОВД!#REF!</f>
        <v>#REF!</v>
      </c>
      <c r="AP25" s="179" t="e">
        <f t="shared" si="18"/>
        <v>#REF!</v>
      </c>
      <c r="AQ25" s="395" t="e">
        <f>РОВД!#REF!</f>
        <v>#REF!</v>
      </c>
      <c r="AR25" s="179" t="e">
        <f t="shared" si="0"/>
        <v>#REF!</v>
      </c>
      <c r="AS25" s="598" t="e">
        <f>РОВД!#REF!</f>
        <v>#REF!</v>
      </c>
      <c r="AT25" s="179" t="e">
        <f t="shared" si="19"/>
        <v>#REF!</v>
      </c>
      <c r="AU25" s="395" t="e">
        <f>РОВД!#REF!</f>
        <v>#REF!</v>
      </c>
      <c r="AV25" s="179" t="e">
        <f t="shared" si="20"/>
        <v>#REF!</v>
      </c>
      <c r="AW25" s="395" t="e">
        <f>РОВД!#REF!</f>
        <v>#REF!</v>
      </c>
      <c r="AX25" s="179" t="e">
        <f t="shared" si="21"/>
        <v>#REF!</v>
      </c>
      <c r="AY25" s="395" t="e">
        <f>РОВД!#REF!</f>
        <v>#REF!</v>
      </c>
      <c r="AZ25" s="179" t="e">
        <f t="shared" si="22"/>
        <v>#REF!</v>
      </c>
      <c r="BA25" s="395" t="e">
        <f>РОВД!#REF!</f>
        <v>#REF!</v>
      </c>
      <c r="BB25" s="179" t="e">
        <f t="shared" si="23"/>
        <v>#REF!</v>
      </c>
      <c r="BC25" s="395" t="e">
        <f>РОВД!#REF!</f>
        <v>#REF!</v>
      </c>
      <c r="BD25" s="179" t="e">
        <f t="shared" si="24"/>
        <v>#REF!</v>
      </c>
      <c r="BE25" s="190"/>
      <c r="BF25" s="190"/>
      <c r="BG25" s="406">
        <v>20</v>
      </c>
      <c r="BH25" s="395" t="e">
        <f>РОВД!#REF!</f>
        <v>#REF!</v>
      </c>
      <c r="BI25" s="179" t="e">
        <f t="shared" si="25"/>
        <v>#REF!</v>
      </c>
      <c r="BJ25" s="395" t="e">
        <f>РОВД!#REF!</f>
        <v>#REF!</v>
      </c>
      <c r="BK25" s="179" t="e">
        <f t="shared" si="28"/>
        <v>#REF!</v>
      </c>
      <c r="BL25" s="395" t="e">
        <f>РОВД!#REF!</f>
        <v>#REF!</v>
      </c>
      <c r="BM25" s="179" t="e">
        <f t="shared" si="26"/>
        <v>#REF!</v>
      </c>
      <c r="BN25" s="53"/>
      <c r="BO25" s="603">
        <f>'Лемпино РН-ЮНГ'!C26</f>
        <v>8024.2</v>
      </c>
      <c r="BP25" s="741"/>
      <c r="BQ25" s="605">
        <f>'Лемпино РН-ЮНГ'!E26</f>
        <v>144</v>
      </c>
      <c r="BR25" s="723" t="e">
        <f t="shared" si="27"/>
        <v>#REF!</v>
      </c>
      <c r="BS25" s="724"/>
      <c r="BT25" s="93"/>
      <c r="BU25" s="93"/>
      <c r="BV25" s="93"/>
      <c r="BW25" s="93"/>
      <c r="BX25" s="2"/>
      <c r="BY25" s="2"/>
      <c r="BZ25" s="160"/>
      <c r="CA25" s="2"/>
      <c r="CB25" s="2"/>
      <c r="CC25" s="160"/>
    </row>
    <row r="26" spans="2:81" ht="19.5" customHeight="1">
      <c r="B26" s="70">
        <v>21</v>
      </c>
      <c r="C26" s="173">
        <f>РОВД!I27</f>
        <v>19494.066</v>
      </c>
      <c r="D26" s="178">
        <f t="shared" si="1"/>
        <v>50</v>
      </c>
      <c r="E26" s="175">
        <f>РОВД!K27</f>
        <v>6672.807</v>
      </c>
      <c r="F26" s="179">
        <f t="shared" si="2"/>
        <v>0</v>
      </c>
      <c r="G26" s="53"/>
      <c r="H26" s="395" t="e">
        <f>РОВД!#REF!</f>
        <v>#REF!</v>
      </c>
      <c r="I26" s="179" t="e">
        <f t="shared" si="3"/>
        <v>#REF!</v>
      </c>
      <c r="J26" s="395" t="e">
        <f>РОВД!#REF!</f>
        <v>#REF!</v>
      </c>
      <c r="K26" s="179" t="e">
        <f t="shared" si="4"/>
        <v>#REF!</v>
      </c>
      <c r="L26" s="395" t="e">
        <f>РОВД!#REF!</f>
        <v>#REF!</v>
      </c>
      <c r="M26" s="179" t="e">
        <f t="shared" si="5"/>
        <v>#REF!</v>
      </c>
      <c r="N26" s="395" t="e">
        <f>РОВД!#REF!</f>
        <v>#REF!</v>
      </c>
      <c r="O26" s="179" t="e">
        <f t="shared" si="6"/>
        <v>#REF!</v>
      </c>
      <c r="P26" s="395" t="e">
        <f>РОВД!#REF!</f>
        <v>#REF!</v>
      </c>
      <c r="Q26" s="179" t="e">
        <f t="shared" si="7"/>
        <v>#REF!</v>
      </c>
      <c r="R26" s="402">
        <v>21</v>
      </c>
      <c r="S26" s="395" t="e">
        <f>РОВД!#REF!</f>
        <v>#REF!</v>
      </c>
      <c r="T26" s="179" t="e">
        <f t="shared" si="8"/>
        <v>#REF!</v>
      </c>
      <c r="U26" s="395" t="e">
        <f>РОВД!#REF!</f>
        <v>#REF!</v>
      </c>
      <c r="V26" s="179" t="e">
        <f t="shared" si="9"/>
        <v>#REF!</v>
      </c>
      <c r="W26" s="395" t="e">
        <f>РОВД!#REF!</f>
        <v>#REF!</v>
      </c>
      <c r="X26" s="179" t="e">
        <f t="shared" si="10"/>
        <v>#REF!</v>
      </c>
      <c r="Y26" s="395" t="e">
        <f>РОВД!#REF!</f>
        <v>#REF!</v>
      </c>
      <c r="Z26" s="179" t="e">
        <f t="shared" si="11"/>
        <v>#REF!</v>
      </c>
      <c r="AA26" s="395" t="e">
        <f>РОВД!#REF!</f>
        <v>#REF!</v>
      </c>
      <c r="AB26" s="179" t="e">
        <f t="shared" si="12"/>
        <v>#REF!</v>
      </c>
      <c r="AC26" s="395" t="e">
        <f>РОВД!#REF!</f>
        <v>#REF!</v>
      </c>
      <c r="AD26" s="179" t="e">
        <f t="shared" si="13"/>
        <v>#REF!</v>
      </c>
      <c r="AE26" s="596" t="e">
        <f>РОВД!#REF!</f>
        <v>#REF!</v>
      </c>
      <c r="AF26" s="597" t="e">
        <f t="shared" si="14"/>
        <v>#REF!</v>
      </c>
      <c r="AG26" s="598" t="e">
        <f>РОВД!#REF!</f>
        <v>#REF!</v>
      </c>
      <c r="AH26" s="597" t="e">
        <f t="shared" si="14"/>
        <v>#REF!</v>
      </c>
      <c r="AI26" s="598" t="e">
        <f>РОВД!#REF!</f>
        <v>#REF!</v>
      </c>
      <c r="AJ26" s="179" t="e">
        <f t="shared" si="15"/>
        <v>#REF!</v>
      </c>
      <c r="AK26" s="395" t="e">
        <f>РОВД!#REF!</f>
        <v>#REF!</v>
      </c>
      <c r="AL26" s="179" t="e">
        <f t="shared" si="16"/>
        <v>#REF!</v>
      </c>
      <c r="AM26" s="395" t="e">
        <f>РОВД!#REF!</f>
        <v>#REF!</v>
      </c>
      <c r="AN26" s="179" t="e">
        <f t="shared" si="17"/>
        <v>#REF!</v>
      </c>
      <c r="AO26" s="395" t="e">
        <f>РОВД!#REF!</f>
        <v>#REF!</v>
      </c>
      <c r="AP26" s="179" t="e">
        <f t="shared" si="18"/>
        <v>#REF!</v>
      </c>
      <c r="AQ26" s="395" t="e">
        <f>РОВД!#REF!</f>
        <v>#REF!</v>
      </c>
      <c r="AR26" s="179" t="e">
        <f t="shared" si="0"/>
        <v>#REF!</v>
      </c>
      <c r="AS26" s="598" t="e">
        <f>РОВД!#REF!</f>
        <v>#REF!</v>
      </c>
      <c r="AT26" s="179" t="e">
        <f t="shared" si="19"/>
        <v>#REF!</v>
      </c>
      <c r="AU26" s="395" t="e">
        <f>РОВД!#REF!</f>
        <v>#REF!</v>
      </c>
      <c r="AV26" s="179" t="e">
        <f t="shared" si="20"/>
        <v>#REF!</v>
      </c>
      <c r="AW26" s="395" t="e">
        <f>РОВД!#REF!</f>
        <v>#REF!</v>
      </c>
      <c r="AX26" s="179" t="e">
        <f t="shared" si="21"/>
        <v>#REF!</v>
      </c>
      <c r="AY26" s="395" t="e">
        <f>РОВД!#REF!</f>
        <v>#REF!</v>
      </c>
      <c r="AZ26" s="179" t="e">
        <f t="shared" si="22"/>
        <v>#REF!</v>
      </c>
      <c r="BA26" s="395" t="e">
        <f>РОВД!#REF!</f>
        <v>#REF!</v>
      </c>
      <c r="BB26" s="179" t="e">
        <f t="shared" si="23"/>
        <v>#REF!</v>
      </c>
      <c r="BC26" s="395" t="e">
        <f>РОВД!#REF!</f>
        <v>#REF!</v>
      </c>
      <c r="BD26" s="179" t="e">
        <f t="shared" si="24"/>
        <v>#REF!</v>
      </c>
      <c r="BE26" s="190"/>
      <c r="BF26" s="190"/>
      <c r="BG26" s="406">
        <v>21</v>
      </c>
      <c r="BH26" s="395" t="e">
        <f>РОВД!#REF!</f>
        <v>#REF!</v>
      </c>
      <c r="BI26" s="179" t="e">
        <f t="shared" si="25"/>
        <v>#REF!</v>
      </c>
      <c r="BJ26" s="395" t="e">
        <f>РОВД!#REF!</f>
        <v>#REF!</v>
      </c>
      <c r="BK26" s="179" t="e">
        <f t="shared" si="28"/>
        <v>#REF!</v>
      </c>
      <c r="BL26" s="395" t="e">
        <f>РОВД!#REF!</f>
        <v>#REF!</v>
      </c>
      <c r="BM26" s="179" t="e">
        <f t="shared" si="26"/>
        <v>#REF!</v>
      </c>
      <c r="BN26" s="53"/>
      <c r="BO26" s="603">
        <f>'Лемпино РН-ЮНГ'!C27</f>
        <v>8024.33</v>
      </c>
      <c r="BP26" s="741"/>
      <c r="BQ26" s="605">
        <f>'Лемпино РН-ЮНГ'!E27</f>
        <v>312</v>
      </c>
      <c r="BR26" s="723" t="e">
        <f t="shared" si="27"/>
        <v>#REF!</v>
      </c>
      <c r="BS26" s="724"/>
      <c r="BT26" s="93"/>
      <c r="BU26" s="93"/>
      <c r="BV26" s="93"/>
      <c r="BW26" s="93"/>
      <c r="BX26" s="2"/>
      <c r="BY26" s="2"/>
      <c r="BZ26" s="160"/>
      <c r="CA26" s="2"/>
      <c r="CB26" s="2"/>
      <c r="CC26" s="160"/>
    </row>
    <row r="27" spans="2:81" ht="19.5" customHeight="1">
      <c r="B27" s="70">
        <v>22</v>
      </c>
      <c r="C27" s="173">
        <f>РОВД!I28</f>
        <v>19494.479</v>
      </c>
      <c r="D27" s="178">
        <f t="shared" si="1"/>
        <v>50</v>
      </c>
      <c r="E27" s="175">
        <f>РОВД!K28</f>
        <v>6672.807</v>
      </c>
      <c r="F27" s="179">
        <f t="shared" si="2"/>
        <v>0</v>
      </c>
      <c r="G27" s="53"/>
      <c r="H27" s="395" t="e">
        <f>РОВД!#REF!</f>
        <v>#REF!</v>
      </c>
      <c r="I27" s="179" t="e">
        <f t="shared" si="3"/>
        <v>#REF!</v>
      </c>
      <c r="J27" s="395" t="e">
        <f>РОВД!#REF!</f>
        <v>#REF!</v>
      </c>
      <c r="K27" s="179" t="e">
        <f t="shared" si="4"/>
        <v>#REF!</v>
      </c>
      <c r="L27" s="395" t="e">
        <f>РОВД!#REF!</f>
        <v>#REF!</v>
      </c>
      <c r="M27" s="179" t="e">
        <f t="shared" si="5"/>
        <v>#REF!</v>
      </c>
      <c r="N27" s="395" t="e">
        <f>РОВД!#REF!</f>
        <v>#REF!</v>
      </c>
      <c r="O27" s="179" t="e">
        <f t="shared" si="6"/>
        <v>#REF!</v>
      </c>
      <c r="P27" s="395" t="e">
        <f>РОВД!#REF!</f>
        <v>#REF!</v>
      </c>
      <c r="Q27" s="179" t="e">
        <f t="shared" si="7"/>
        <v>#REF!</v>
      </c>
      <c r="R27" s="402">
        <v>22</v>
      </c>
      <c r="S27" s="395" t="e">
        <f>РОВД!#REF!</f>
        <v>#REF!</v>
      </c>
      <c r="T27" s="179" t="e">
        <f t="shared" si="8"/>
        <v>#REF!</v>
      </c>
      <c r="U27" s="395" t="e">
        <f>РОВД!#REF!</f>
        <v>#REF!</v>
      </c>
      <c r="V27" s="179" t="e">
        <f t="shared" si="9"/>
        <v>#REF!</v>
      </c>
      <c r="W27" s="395" t="e">
        <f>РОВД!#REF!</f>
        <v>#REF!</v>
      </c>
      <c r="X27" s="179" t="e">
        <f t="shared" si="10"/>
        <v>#REF!</v>
      </c>
      <c r="Y27" s="395" t="e">
        <f>РОВД!#REF!</f>
        <v>#REF!</v>
      </c>
      <c r="Z27" s="179" t="e">
        <f t="shared" si="11"/>
        <v>#REF!</v>
      </c>
      <c r="AA27" s="395" t="e">
        <f>РОВД!#REF!</f>
        <v>#REF!</v>
      </c>
      <c r="AB27" s="179" t="e">
        <f t="shared" si="12"/>
        <v>#REF!</v>
      </c>
      <c r="AC27" s="395" t="e">
        <f>РОВД!#REF!</f>
        <v>#REF!</v>
      </c>
      <c r="AD27" s="179" t="e">
        <f t="shared" si="13"/>
        <v>#REF!</v>
      </c>
      <c r="AE27" s="596" t="e">
        <f>РОВД!#REF!</f>
        <v>#REF!</v>
      </c>
      <c r="AF27" s="597" t="e">
        <f t="shared" si="14"/>
        <v>#REF!</v>
      </c>
      <c r="AG27" s="598" t="e">
        <f>РОВД!#REF!</f>
        <v>#REF!</v>
      </c>
      <c r="AH27" s="597" t="e">
        <f t="shared" si="14"/>
        <v>#REF!</v>
      </c>
      <c r="AI27" s="598" t="e">
        <f>РОВД!#REF!</f>
        <v>#REF!</v>
      </c>
      <c r="AJ27" s="179" t="e">
        <f t="shared" si="15"/>
        <v>#REF!</v>
      </c>
      <c r="AK27" s="395" t="e">
        <f>РОВД!#REF!</f>
        <v>#REF!</v>
      </c>
      <c r="AL27" s="179" t="e">
        <f t="shared" si="16"/>
        <v>#REF!</v>
      </c>
      <c r="AM27" s="395" t="e">
        <f>РОВД!#REF!</f>
        <v>#REF!</v>
      </c>
      <c r="AN27" s="179" t="e">
        <f t="shared" si="17"/>
        <v>#REF!</v>
      </c>
      <c r="AO27" s="395" t="e">
        <f>РОВД!#REF!</f>
        <v>#REF!</v>
      </c>
      <c r="AP27" s="179" t="e">
        <f t="shared" si="18"/>
        <v>#REF!</v>
      </c>
      <c r="AQ27" s="395" t="e">
        <f>РОВД!#REF!</f>
        <v>#REF!</v>
      </c>
      <c r="AR27" s="179" t="e">
        <f t="shared" si="0"/>
        <v>#REF!</v>
      </c>
      <c r="AS27" s="598" t="e">
        <f>РОВД!#REF!</f>
        <v>#REF!</v>
      </c>
      <c r="AT27" s="179" t="e">
        <f t="shared" si="19"/>
        <v>#REF!</v>
      </c>
      <c r="AU27" s="395" t="e">
        <f>РОВД!#REF!</f>
        <v>#REF!</v>
      </c>
      <c r="AV27" s="179" t="e">
        <f t="shared" si="20"/>
        <v>#REF!</v>
      </c>
      <c r="AW27" s="395" t="e">
        <f>РОВД!#REF!</f>
        <v>#REF!</v>
      </c>
      <c r="AX27" s="179" t="e">
        <f t="shared" si="21"/>
        <v>#REF!</v>
      </c>
      <c r="AY27" s="395" t="e">
        <f>РОВД!#REF!</f>
        <v>#REF!</v>
      </c>
      <c r="AZ27" s="179" t="e">
        <f t="shared" si="22"/>
        <v>#REF!</v>
      </c>
      <c r="BA27" s="395" t="e">
        <f>РОВД!#REF!</f>
        <v>#REF!</v>
      </c>
      <c r="BB27" s="179" t="e">
        <f t="shared" si="23"/>
        <v>#REF!</v>
      </c>
      <c r="BC27" s="395" t="e">
        <f>РОВД!#REF!</f>
        <v>#REF!</v>
      </c>
      <c r="BD27" s="179" t="e">
        <f t="shared" si="24"/>
        <v>#REF!</v>
      </c>
      <c r="BE27" s="190"/>
      <c r="BF27" s="190"/>
      <c r="BG27" s="406">
        <v>22</v>
      </c>
      <c r="BH27" s="395" t="e">
        <f>РОВД!#REF!</f>
        <v>#REF!</v>
      </c>
      <c r="BI27" s="179" t="e">
        <f t="shared" si="25"/>
        <v>#REF!</v>
      </c>
      <c r="BJ27" s="395" t="e">
        <f>РОВД!#REF!</f>
        <v>#REF!</v>
      </c>
      <c r="BK27" s="179" t="e">
        <f t="shared" si="28"/>
        <v>#REF!</v>
      </c>
      <c r="BL27" s="395" t="e">
        <f>РОВД!#REF!</f>
        <v>#REF!</v>
      </c>
      <c r="BM27" s="179" t="e">
        <f t="shared" si="26"/>
        <v>#REF!</v>
      </c>
      <c r="BN27" s="53"/>
      <c r="BO27" s="603">
        <f>'Лемпино РН-ЮНГ'!C28</f>
        <v>8024.4</v>
      </c>
      <c r="BP27" s="741"/>
      <c r="BQ27" s="605">
        <f>'Лемпино РН-ЮНГ'!E28</f>
        <v>168</v>
      </c>
      <c r="BR27" s="723" t="e">
        <f t="shared" si="27"/>
        <v>#REF!</v>
      </c>
      <c r="BS27" s="724"/>
      <c r="BT27" s="93"/>
      <c r="BU27" s="93"/>
      <c r="BV27" s="93"/>
      <c r="BW27" s="93"/>
      <c r="BX27" s="2"/>
      <c r="BY27" s="2"/>
      <c r="BZ27" s="160"/>
      <c r="CA27" s="2"/>
      <c r="CB27" s="2"/>
      <c r="CC27" s="160"/>
    </row>
    <row r="28" spans="2:81" ht="19.5" customHeight="1">
      <c r="B28" s="70">
        <v>23</v>
      </c>
      <c r="C28" s="173">
        <f>РОВД!I29</f>
        <v>19494.883</v>
      </c>
      <c r="D28" s="178">
        <f t="shared" si="1"/>
        <v>48</v>
      </c>
      <c r="E28" s="175">
        <f>РОВД!K29</f>
        <v>6672.807</v>
      </c>
      <c r="F28" s="179">
        <f t="shared" si="2"/>
        <v>0</v>
      </c>
      <c r="G28" s="53"/>
      <c r="H28" s="395" t="e">
        <f>РОВД!#REF!</f>
        <v>#REF!</v>
      </c>
      <c r="I28" s="179" t="e">
        <f t="shared" si="3"/>
        <v>#REF!</v>
      </c>
      <c r="J28" s="395" t="e">
        <f>РОВД!#REF!</f>
        <v>#REF!</v>
      </c>
      <c r="K28" s="179" t="e">
        <f t="shared" si="4"/>
        <v>#REF!</v>
      </c>
      <c r="L28" s="395" t="e">
        <f>РОВД!#REF!</f>
        <v>#REF!</v>
      </c>
      <c r="M28" s="179" t="e">
        <f t="shared" si="5"/>
        <v>#REF!</v>
      </c>
      <c r="N28" s="395" t="e">
        <f>РОВД!#REF!</f>
        <v>#REF!</v>
      </c>
      <c r="O28" s="179" t="e">
        <f t="shared" si="6"/>
        <v>#REF!</v>
      </c>
      <c r="P28" s="395" t="e">
        <f>РОВД!#REF!</f>
        <v>#REF!</v>
      </c>
      <c r="Q28" s="179" t="e">
        <f t="shared" si="7"/>
        <v>#REF!</v>
      </c>
      <c r="R28" s="402">
        <v>23</v>
      </c>
      <c r="S28" s="395" t="e">
        <f>РОВД!#REF!</f>
        <v>#REF!</v>
      </c>
      <c r="T28" s="179" t="e">
        <f t="shared" si="8"/>
        <v>#REF!</v>
      </c>
      <c r="U28" s="395" t="e">
        <f>РОВД!#REF!</f>
        <v>#REF!</v>
      </c>
      <c r="V28" s="179" t="e">
        <f t="shared" si="9"/>
        <v>#REF!</v>
      </c>
      <c r="W28" s="395" t="e">
        <f>РОВД!#REF!</f>
        <v>#REF!</v>
      </c>
      <c r="X28" s="179" t="e">
        <f t="shared" si="10"/>
        <v>#REF!</v>
      </c>
      <c r="Y28" s="395" t="e">
        <f>РОВД!#REF!</f>
        <v>#REF!</v>
      </c>
      <c r="Z28" s="179" t="e">
        <f t="shared" si="11"/>
        <v>#REF!</v>
      </c>
      <c r="AA28" s="395" t="e">
        <f>РОВД!#REF!</f>
        <v>#REF!</v>
      </c>
      <c r="AB28" s="179" t="e">
        <f t="shared" si="12"/>
        <v>#REF!</v>
      </c>
      <c r="AC28" s="395" t="e">
        <f>РОВД!#REF!</f>
        <v>#REF!</v>
      </c>
      <c r="AD28" s="179" t="e">
        <f t="shared" si="13"/>
        <v>#REF!</v>
      </c>
      <c r="AE28" s="596" t="e">
        <f>РОВД!#REF!</f>
        <v>#REF!</v>
      </c>
      <c r="AF28" s="597" t="e">
        <f t="shared" si="14"/>
        <v>#REF!</v>
      </c>
      <c r="AG28" s="598" t="e">
        <f>РОВД!#REF!</f>
        <v>#REF!</v>
      </c>
      <c r="AH28" s="597" t="e">
        <f t="shared" si="14"/>
        <v>#REF!</v>
      </c>
      <c r="AI28" s="598" t="e">
        <f>РОВД!#REF!</f>
        <v>#REF!</v>
      </c>
      <c r="AJ28" s="179" t="e">
        <f t="shared" si="15"/>
        <v>#REF!</v>
      </c>
      <c r="AK28" s="395" t="e">
        <f>РОВД!#REF!</f>
        <v>#REF!</v>
      </c>
      <c r="AL28" s="179" t="e">
        <f t="shared" si="16"/>
        <v>#REF!</v>
      </c>
      <c r="AM28" s="395" t="e">
        <f>РОВД!#REF!</f>
        <v>#REF!</v>
      </c>
      <c r="AN28" s="179" t="e">
        <f t="shared" si="17"/>
        <v>#REF!</v>
      </c>
      <c r="AO28" s="395" t="e">
        <f>РОВД!#REF!</f>
        <v>#REF!</v>
      </c>
      <c r="AP28" s="179" t="e">
        <f t="shared" si="18"/>
        <v>#REF!</v>
      </c>
      <c r="AQ28" s="395" t="e">
        <f>РОВД!#REF!</f>
        <v>#REF!</v>
      </c>
      <c r="AR28" s="179" t="e">
        <f t="shared" si="0"/>
        <v>#REF!</v>
      </c>
      <c r="AS28" s="598" t="e">
        <f>РОВД!#REF!</f>
        <v>#REF!</v>
      </c>
      <c r="AT28" s="179" t="e">
        <f t="shared" si="19"/>
        <v>#REF!</v>
      </c>
      <c r="AU28" s="395" t="e">
        <f>РОВД!#REF!</f>
        <v>#REF!</v>
      </c>
      <c r="AV28" s="179" t="e">
        <f t="shared" si="20"/>
        <v>#REF!</v>
      </c>
      <c r="AW28" s="395" t="e">
        <f>РОВД!#REF!</f>
        <v>#REF!</v>
      </c>
      <c r="AX28" s="179" t="e">
        <f t="shared" si="21"/>
        <v>#REF!</v>
      </c>
      <c r="AY28" s="395" t="e">
        <f>РОВД!#REF!</f>
        <v>#REF!</v>
      </c>
      <c r="AZ28" s="179" t="e">
        <f t="shared" si="22"/>
        <v>#REF!</v>
      </c>
      <c r="BA28" s="395" t="e">
        <f>РОВД!#REF!</f>
        <v>#REF!</v>
      </c>
      <c r="BB28" s="179" t="e">
        <f t="shared" si="23"/>
        <v>#REF!</v>
      </c>
      <c r="BC28" s="395" t="e">
        <f>РОВД!#REF!</f>
        <v>#REF!</v>
      </c>
      <c r="BD28" s="179" t="e">
        <f t="shared" si="24"/>
        <v>#REF!</v>
      </c>
      <c r="BE28" s="190"/>
      <c r="BF28" s="190"/>
      <c r="BG28" s="406">
        <v>23</v>
      </c>
      <c r="BH28" s="395" t="e">
        <f>РОВД!#REF!</f>
        <v>#REF!</v>
      </c>
      <c r="BI28" s="179" t="e">
        <f t="shared" si="25"/>
        <v>#REF!</v>
      </c>
      <c r="BJ28" s="395" t="e">
        <f>РОВД!#REF!</f>
        <v>#REF!</v>
      </c>
      <c r="BK28" s="179" t="e">
        <f t="shared" si="28"/>
        <v>#REF!</v>
      </c>
      <c r="BL28" s="395" t="e">
        <f>РОВД!#REF!</f>
        <v>#REF!</v>
      </c>
      <c r="BM28" s="179" t="e">
        <f t="shared" si="26"/>
        <v>#REF!</v>
      </c>
      <c r="BN28" s="53"/>
      <c r="BO28" s="603">
        <f>'Лемпино РН-ЮНГ'!C29</f>
        <v>8024.46</v>
      </c>
      <c r="BP28" s="741"/>
      <c r="BQ28" s="605">
        <f>'Лемпино РН-ЮНГ'!E29</f>
        <v>144</v>
      </c>
      <c r="BR28" s="723" t="e">
        <f t="shared" si="27"/>
        <v>#REF!</v>
      </c>
      <c r="BS28" s="724"/>
      <c r="BT28" s="93"/>
      <c r="BU28" s="93"/>
      <c r="BV28" s="93"/>
      <c r="BW28" s="93"/>
      <c r="BX28" s="2"/>
      <c r="BY28" s="2"/>
      <c r="BZ28" s="160"/>
      <c r="CA28" s="2"/>
      <c r="CB28" s="2"/>
      <c r="CC28" s="160"/>
    </row>
    <row r="29" spans="2:81" ht="19.5" customHeight="1">
      <c r="B29" s="70">
        <v>24</v>
      </c>
      <c r="C29" s="173">
        <f>РОВД!I30</f>
        <v>19495.266</v>
      </c>
      <c r="D29" s="178">
        <f t="shared" si="1"/>
        <v>46</v>
      </c>
      <c r="E29" s="175">
        <f>РОВД!K30</f>
        <v>6672.807</v>
      </c>
      <c r="F29" s="179">
        <f t="shared" si="2"/>
        <v>0</v>
      </c>
      <c r="G29" s="53"/>
      <c r="H29" s="395" t="e">
        <f>РОВД!#REF!</f>
        <v>#REF!</v>
      </c>
      <c r="I29" s="179" t="e">
        <f t="shared" si="3"/>
        <v>#REF!</v>
      </c>
      <c r="J29" s="395" t="e">
        <f>РОВД!#REF!</f>
        <v>#REF!</v>
      </c>
      <c r="K29" s="179" t="e">
        <f t="shared" si="4"/>
        <v>#REF!</v>
      </c>
      <c r="L29" s="395" t="e">
        <f>РОВД!#REF!</f>
        <v>#REF!</v>
      </c>
      <c r="M29" s="179" t="e">
        <f t="shared" si="5"/>
        <v>#REF!</v>
      </c>
      <c r="N29" s="395" t="e">
        <f>РОВД!#REF!</f>
        <v>#REF!</v>
      </c>
      <c r="O29" s="179" t="e">
        <f t="shared" si="6"/>
        <v>#REF!</v>
      </c>
      <c r="P29" s="395" t="e">
        <f>РОВД!#REF!</f>
        <v>#REF!</v>
      </c>
      <c r="Q29" s="179" t="e">
        <f t="shared" si="7"/>
        <v>#REF!</v>
      </c>
      <c r="R29" s="402">
        <v>24</v>
      </c>
      <c r="S29" s="395" t="e">
        <f>РОВД!#REF!</f>
        <v>#REF!</v>
      </c>
      <c r="T29" s="179" t="e">
        <f t="shared" si="8"/>
        <v>#REF!</v>
      </c>
      <c r="U29" s="395" t="e">
        <f>РОВД!#REF!</f>
        <v>#REF!</v>
      </c>
      <c r="V29" s="179" t="e">
        <f t="shared" si="9"/>
        <v>#REF!</v>
      </c>
      <c r="W29" s="395" t="e">
        <f>РОВД!#REF!</f>
        <v>#REF!</v>
      </c>
      <c r="X29" s="179" t="e">
        <f t="shared" si="10"/>
        <v>#REF!</v>
      </c>
      <c r="Y29" s="395" t="e">
        <f>РОВД!#REF!</f>
        <v>#REF!</v>
      </c>
      <c r="Z29" s="179" t="e">
        <f t="shared" si="11"/>
        <v>#REF!</v>
      </c>
      <c r="AA29" s="395" t="e">
        <f>РОВД!#REF!</f>
        <v>#REF!</v>
      </c>
      <c r="AB29" s="179" t="e">
        <f t="shared" si="12"/>
        <v>#REF!</v>
      </c>
      <c r="AC29" s="395" t="e">
        <f>РОВД!#REF!</f>
        <v>#REF!</v>
      </c>
      <c r="AD29" s="179" t="e">
        <f t="shared" si="13"/>
        <v>#REF!</v>
      </c>
      <c r="AE29" s="596" t="e">
        <f>РОВД!#REF!</f>
        <v>#REF!</v>
      </c>
      <c r="AF29" s="597" t="e">
        <f t="shared" si="14"/>
        <v>#REF!</v>
      </c>
      <c r="AG29" s="598" t="e">
        <f>РОВД!#REF!</f>
        <v>#REF!</v>
      </c>
      <c r="AH29" s="597" t="e">
        <f t="shared" si="14"/>
        <v>#REF!</v>
      </c>
      <c r="AI29" s="598" t="e">
        <f>РОВД!#REF!</f>
        <v>#REF!</v>
      </c>
      <c r="AJ29" s="179" t="e">
        <f t="shared" si="15"/>
        <v>#REF!</v>
      </c>
      <c r="AK29" s="395" t="e">
        <f>РОВД!#REF!</f>
        <v>#REF!</v>
      </c>
      <c r="AL29" s="179" t="e">
        <f t="shared" si="16"/>
        <v>#REF!</v>
      </c>
      <c r="AM29" s="395" t="e">
        <f>РОВД!#REF!</f>
        <v>#REF!</v>
      </c>
      <c r="AN29" s="179" t="e">
        <f t="shared" si="17"/>
        <v>#REF!</v>
      </c>
      <c r="AO29" s="395" t="e">
        <f>РОВД!#REF!</f>
        <v>#REF!</v>
      </c>
      <c r="AP29" s="179" t="e">
        <f t="shared" si="18"/>
        <v>#REF!</v>
      </c>
      <c r="AQ29" s="395" t="e">
        <f>РОВД!#REF!</f>
        <v>#REF!</v>
      </c>
      <c r="AR29" s="179" t="e">
        <f t="shared" si="0"/>
        <v>#REF!</v>
      </c>
      <c r="AS29" s="598" t="e">
        <f>РОВД!#REF!</f>
        <v>#REF!</v>
      </c>
      <c r="AT29" s="179" t="e">
        <f t="shared" si="19"/>
        <v>#REF!</v>
      </c>
      <c r="AU29" s="395" t="e">
        <f>РОВД!#REF!</f>
        <v>#REF!</v>
      </c>
      <c r="AV29" s="179" t="e">
        <f t="shared" si="20"/>
        <v>#REF!</v>
      </c>
      <c r="AW29" s="395" t="e">
        <f>РОВД!#REF!</f>
        <v>#REF!</v>
      </c>
      <c r="AX29" s="179" t="e">
        <f t="shared" si="21"/>
        <v>#REF!</v>
      </c>
      <c r="AY29" s="395" t="e">
        <f>РОВД!#REF!</f>
        <v>#REF!</v>
      </c>
      <c r="AZ29" s="179" t="e">
        <f t="shared" si="22"/>
        <v>#REF!</v>
      </c>
      <c r="BA29" s="395" t="e">
        <f>РОВД!#REF!</f>
        <v>#REF!</v>
      </c>
      <c r="BB29" s="179" t="e">
        <f t="shared" si="23"/>
        <v>#REF!</v>
      </c>
      <c r="BC29" s="395" t="e">
        <f>РОВД!#REF!</f>
        <v>#REF!</v>
      </c>
      <c r="BD29" s="179" t="e">
        <f t="shared" si="24"/>
        <v>#REF!</v>
      </c>
      <c r="BE29" s="190"/>
      <c r="BF29" s="190"/>
      <c r="BG29" s="406">
        <v>24</v>
      </c>
      <c r="BH29" s="395" t="e">
        <f>РОВД!#REF!</f>
        <v>#REF!</v>
      </c>
      <c r="BI29" s="179" t="e">
        <f t="shared" si="25"/>
        <v>#REF!</v>
      </c>
      <c r="BJ29" s="395" t="e">
        <f>РОВД!#REF!</f>
        <v>#REF!</v>
      </c>
      <c r="BK29" s="179" t="e">
        <f t="shared" si="28"/>
        <v>#REF!</v>
      </c>
      <c r="BL29" s="395" t="e">
        <f>РОВД!#REF!</f>
        <v>#REF!</v>
      </c>
      <c r="BM29" s="179" t="e">
        <f t="shared" si="26"/>
        <v>#REF!</v>
      </c>
      <c r="BN29" s="53"/>
      <c r="BO29" s="603">
        <f>'Лемпино РН-ЮНГ'!C30</f>
        <v>8024.52</v>
      </c>
      <c r="BP29" s="741"/>
      <c r="BQ29" s="605">
        <f>'Лемпино РН-ЮНГ'!E30</f>
        <v>144</v>
      </c>
      <c r="BR29" s="723" t="e">
        <f t="shared" si="27"/>
        <v>#REF!</v>
      </c>
      <c r="BS29" s="724"/>
      <c r="BT29" s="93"/>
      <c r="BU29" s="93"/>
      <c r="BV29" s="93"/>
      <c r="BW29" s="93"/>
      <c r="BX29" s="2"/>
      <c r="BY29" s="2"/>
      <c r="BZ29" s="160"/>
      <c r="CA29" s="2"/>
      <c r="CB29" s="2"/>
      <c r="CC29" s="160"/>
    </row>
    <row r="30" spans="2:81" ht="19.5" customHeight="1">
      <c r="B30" s="70">
        <v>1</v>
      </c>
      <c r="C30" s="173">
        <f>РОВД!I31</f>
        <v>19495.639</v>
      </c>
      <c r="D30" s="178">
        <f t="shared" si="1"/>
        <v>45</v>
      </c>
      <c r="E30" s="175">
        <f>РОВД!K31</f>
        <v>6672.807</v>
      </c>
      <c r="F30" s="179">
        <f t="shared" si="2"/>
        <v>0</v>
      </c>
      <c r="G30" s="53"/>
      <c r="H30" s="395" t="e">
        <f>РОВД!#REF!</f>
        <v>#REF!</v>
      </c>
      <c r="I30" s="179" t="e">
        <f t="shared" si="3"/>
        <v>#REF!</v>
      </c>
      <c r="J30" s="395" t="e">
        <f>РОВД!#REF!</f>
        <v>#REF!</v>
      </c>
      <c r="K30" s="179" t="e">
        <f t="shared" si="4"/>
        <v>#REF!</v>
      </c>
      <c r="L30" s="395" t="e">
        <f>РОВД!#REF!</f>
        <v>#REF!</v>
      </c>
      <c r="M30" s="179" t="e">
        <f t="shared" si="5"/>
        <v>#REF!</v>
      </c>
      <c r="N30" s="395" t="e">
        <f>РОВД!#REF!</f>
        <v>#REF!</v>
      </c>
      <c r="O30" s="179" t="e">
        <f t="shared" si="6"/>
        <v>#REF!</v>
      </c>
      <c r="P30" s="395" t="e">
        <f>РОВД!#REF!</f>
        <v>#REF!</v>
      </c>
      <c r="Q30" s="179" t="e">
        <f t="shared" si="7"/>
        <v>#REF!</v>
      </c>
      <c r="R30" s="402">
        <v>1</v>
      </c>
      <c r="S30" s="395" t="e">
        <f>РОВД!#REF!</f>
        <v>#REF!</v>
      </c>
      <c r="T30" s="179" t="e">
        <f t="shared" si="8"/>
        <v>#REF!</v>
      </c>
      <c r="U30" s="395" t="e">
        <f>РОВД!#REF!</f>
        <v>#REF!</v>
      </c>
      <c r="V30" s="179" t="e">
        <f t="shared" si="9"/>
        <v>#REF!</v>
      </c>
      <c r="W30" s="395" t="e">
        <f>РОВД!#REF!</f>
        <v>#REF!</v>
      </c>
      <c r="X30" s="179" t="e">
        <f t="shared" si="10"/>
        <v>#REF!</v>
      </c>
      <c r="Y30" s="395" t="e">
        <f>РОВД!#REF!</f>
        <v>#REF!</v>
      </c>
      <c r="Z30" s="179" t="e">
        <f t="shared" si="11"/>
        <v>#REF!</v>
      </c>
      <c r="AA30" s="395" t="e">
        <f>РОВД!#REF!</f>
        <v>#REF!</v>
      </c>
      <c r="AB30" s="179" t="e">
        <f t="shared" si="12"/>
        <v>#REF!</v>
      </c>
      <c r="AC30" s="395" t="e">
        <f>РОВД!#REF!</f>
        <v>#REF!</v>
      </c>
      <c r="AD30" s="179" t="e">
        <f t="shared" si="13"/>
        <v>#REF!</v>
      </c>
      <c r="AE30" s="596" t="e">
        <f>РОВД!#REF!</f>
        <v>#REF!</v>
      </c>
      <c r="AF30" s="597" t="e">
        <f t="shared" si="14"/>
        <v>#REF!</v>
      </c>
      <c r="AG30" s="598" t="e">
        <f>РОВД!#REF!</f>
        <v>#REF!</v>
      </c>
      <c r="AH30" s="597" t="e">
        <f t="shared" si="14"/>
        <v>#REF!</v>
      </c>
      <c r="AI30" s="598" t="e">
        <f>РОВД!#REF!</f>
        <v>#REF!</v>
      </c>
      <c r="AJ30" s="179" t="e">
        <f t="shared" si="15"/>
        <v>#REF!</v>
      </c>
      <c r="AK30" s="395" t="e">
        <f>РОВД!#REF!</f>
        <v>#REF!</v>
      </c>
      <c r="AL30" s="179" t="e">
        <f t="shared" si="16"/>
        <v>#REF!</v>
      </c>
      <c r="AM30" s="395" t="e">
        <f>РОВД!#REF!</f>
        <v>#REF!</v>
      </c>
      <c r="AN30" s="179" t="e">
        <f t="shared" si="17"/>
        <v>#REF!</v>
      </c>
      <c r="AO30" s="395" t="e">
        <f>РОВД!#REF!</f>
        <v>#REF!</v>
      </c>
      <c r="AP30" s="179" t="e">
        <f t="shared" si="18"/>
        <v>#REF!</v>
      </c>
      <c r="AQ30" s="395" t="e">
        <f>РОВД!#REF!</f>
        <v>#REF!</v>
      </c>
      <c r="AR30" s="179" t="e">
        <f t="shared" si="0"/>
        <v>#REF!</v>
      </c>
      <c r="AS30" s="598" t="e">
        <f>РОВД!#REF!</f>
        <v>#REF!</v>
      </c>
      <c r="AT30" s="179" t="e">
        <f t="shared" si="19"/>
        <v>#REF!</v>
      </c>
      <c r="AU30" s="395" t="e">
        <f>РОВД!#REF!</f>
        <v>#REF!</v>
      </c>
      <c r="AV30" s="179" t="e">
        <f t="shared" si="20"/>
        <v>#REF!</v>
      </c>
      <c r="AW30" s="395" t="e">
        <f>РОВД!#REF!</f>
        <v>#REF!</v>
      </c>
      <c r="AX30" s="179" t="e">
        <f t="shared" si="21"/>
        <v>#REF!</v>
      </c>
      <c r="AY30" s="395" t="e">
        <f>РОВД!#REF!</f>
        <v>#REF!</v>
      </c>
      <c r="AZ30" s="179" t="e">
        <f t="shared" si="22"/>
        <v>#REF!</v>
      </c>
      <c r="BA30" s="395" t="e">
        <f>РОВД!#REF!</f>
        <v>#REF!</v>
      </c>
      <c r="BB30" s="179" t="e">
        <f t="shared" si="23"/>
        <v>#REF!</v>
      </c>
      <c r="BC30" s="395" t="e">
        <f>РОВД!#REF!</f>
        <v>#REF!</v>
      </c>
      <c r="BD30" s="179" t="e">
        <f t="shared" si="24"/>
        <v>#REF!</v>
      </c>
      <c r="BE30" s="190"/>
      <c r="BF30" s="190"/>
      <c r="BG30" s="406">
        <v>1</v>
      </c>
      <c r="BH30" s="395" t="e">
        <f>РОВД!#REF!</f>
        <v>#REF!</v>
      </c>
      <c r="BI30" s="179" t="e">
        <f t="shared" si="25"/>
        <v>#REF!</v>
      </c>
      <c r="BJ30" s="395" t="e">
        <f>РОВД!#REF!</f>
        <v>#REF!</v>
      </c>
      <c r="BK30" s="179" t="e">
        <f t="shared" si="28"/>
        <v>#REF!</v>
      </c>
      <c r="BL30" s="395" t="e">
        <f>РОВД!#REF!</f>
        <v>#REF!</v>
      </c>
      <c r="BM30" s="179" t="e">
        <f t="shared" si="26"/>
        <v>#REF!</v>
      </c>
      <c r="BN30" s="53"/>
      <c r="BO30" s="603">
        <f>'Лемпино РН-ЮНГ'!C31</f>
        <v>8024.57</v>
      </c>
      <c r="BP30" s="741"/>
      <c r="BQ30" s="605">
        <f>'Лемпино РН-ЮНГ'!E31</f>
        <v>120</v>
      </c>
      <c r="BR30" s="723" t="e">
        <f t="shared" si="27"/>
        <v>#REF!</v>
      </c>
      <c r="BS30" s="724"/>
      <c r="BT30" s="93"/>
      <c r="BU30" s="93"/>
      <c r="BV30" s="93"/>
      <c r="BW30" s="93"/>
      <c r="BX30" s="2"/>
      <c r="BY30" s="2"/>
      <c r="BZ30" s="160"/>
      <c r="CA30" s="2"/>
      <c r="CB30" s="2"/>
      <c r="CC30" s="160"/>
    </row>
    <row r="31" spans="2:81" ht="19.5" customHeight="1" thickBot="1">
      <c r="B31" s="72">
        <v>2</v>
      </c>
      <c r="C31" s="173">
        <f>РОВД!I32</f>
        <v>19496.02</v>
      </c>
      <c r="D31" s="178">
        <f t="shared" si="1"/>
        <v>46</v>
      </c>
      <c r="E31" s="175">
        <f>РОВД!K32</f>
        <v>6672.807</v>
      </c>
      <c r="F31" s="179">
        <f t="shared" si="2"/>
        <v>0</v>
      </c>
      <c r="G31" s="53"/>
      <c r="H31" s="396" t="e">
        <f>РОВД!#REF!</f>
        <v>#REF!</v>
      </c>
      <c r="I31" s="179" t="e">
        <f t="shared" si="3"/>
        <v>#REF!</v>
      </c>
      <c r="J31" s="396" t="e">
        <f>РОВД!#REF!</f>
        <v>#REF!</v>
      </c>
      <c r="K31" s="179" t="e">
        <f t="shared" si="4"/>
        <v>#REF!</v>
      </c>
      <c r="L31" s="396" t="e">
        <f>РОВД!#REF!</f>
        <v>#REF!</v>
      </c>
      <c r="M31" s="179" t="e">
        <f t="shared" si="5"/>
        <v>#REF!</v>
      </c>
      <c r="N31" s="396" t="e">
        <f>РОВД!#REF!</f>
        <v>#REF!</v>
      </c>
      <c r="O31" s="179" t="e">
        <f>ROUND((N31-N30)*120,0)</f>
        <v>#REF!</v>
      </c>
      <c r="P31" s="396" t="e">
        <f>РОВД!#REF!</f>
        <v>#REF!</v>
      </c>
      <c r="Q31" s="179" t="e">
        <f t="shared" si="7"/>
        <v>#REF!</v>
      </c>
      <c r="R31" s="403">
        <v>2</v>
      </c>
      <c r="S31" s="396" t="e">
        <f>РОВД!#REF!</f>
        <v>#REF!</v>
      </c>
      <c r="T31" s="179" t="e">
        <f t="shared" si="8"/>
        <v>#REF!</v>
      </c>
      <c r="U31" s="396" t="e">
        <f>РОВД!#REF!</f>
        <v>#REF!</v>
      </c>
      <c r="V31" s="179" t="e">
        <f t="shared" si="9"/>
        <v>#REF!</v>
      </c>
      <c r="W31" s="396" t="e">
        <f>РОВД!#REF!</f>
        <v>#REF!</v>
      </c>
      <c r="X31" s="179" t="e">
        <f t="shared" si="10"/>
        <v>#REF!</v>
      </c>
      <c r="Y31" s="396" t="e">
        <f>РОВД!#REF!</f>
        <v>#REF!</v>
      </c>
      <c r="Z31" s="179" t="e">
        <f t="shared" si="11"/>
        <v>#REF!</v>
      </c>
      <c r="AA31" s="396" t="e">
        <f>РОВД!#REF!</f>
        <v>#REF!</v>
      </c>
      <c r="AB31" s="179" t="e">
        <f t="shared" si="12"/>
        <v>#REF!</v>
      </c>
      <c r="AC31" s="396" t="e">
        <f>РОВД!#REF!</f>
        <v>#REF!</v>
      </c>
      <c r="AD31" s="179" t="e">
        <f t="shared" si="13"/>
        <v>#REF!</v>
      </c>
      <c r="AE31" s="599" t="e">
        <f>РОВД!#REF!</f>
        <v>#REF!</v>
      </c>
      <c r="AF31" s="597" t="e">
        <f t="shared" si="14"/>
        <v>#REF!</v>
      </c>
      <c r="AG31" s="599" t="e">
        <f>РОВД!#REF!</f>
        <v>#REF!</v>
      </c>
      <c r="AH31" s="597" t="e">
        <f t="shared" si="14"/>
        <v>#REF!</v>
      </c>
      <c r="AI31" s="599" t="e">
        <f>РОВД!#REF!</f>
        <v>#REF!</v>
      </c>
      <c r="AJ31" s="179" t="e">
        <f>ROUND((AI31-AI30)*80,0)</f>
        <v>#REF!</v>
      </c>
      <c r="AK31" s="396" t="e">
        <f>РОВД!#REF!</f>
        <v>#REF!</v>
      </c>
      <c r="AL31" s="179" t="e">
        <f t="shared" si="16"/>
        <v>#REF!</v>
      </c>
      <c r="AM31" s="396" t="e">
        <f>РОВД!#REF!</f>
        <v>#REF!</v>
      </c>
      <c r="AN31" s="179" t="e">
        <f t="shared" si="17"/>
        <v>#REF!</v>
      </c>
      <c r="AO31" s="396" t="e">
        <f>РОВД!#REF!</f>
        <v>#REF!</v>
      </c>
      <c r="AP31" s="179" t="e">
        <f t="shared" si="18"/>
        <v>#REF!</v>
      </c>
      <c r="AQ31" s="396" t="e">
        <f>РОВД!#REF!</f>
        <v>#REF!</v>
      </c>
      <c r="AR31" s="179" t="e">
        <f t="shared" si="0"/>
        <v>#REF!</v>
      </c>
      <c r="AS31" s="396" t="e">
        <f>РОВД!#REF!</f>
        <v>#REF!</v>
      </c>
      <c r="AT31" s="179" t="e">
        <f t="shared" si="19"/>
        <v>#REF!</v>
      </c>
      <c r="AU31" s="396" t="e">
        <f>РОВД!#REF!</f>
        <v>#REF!</v>
      </c>
      <c r="AV31" s="179" t="e">
        <f t="shared" si="20"/>
        <v>#REF!</v>
      </c>
      <c r="AW31" s="396" t="e">
        <f>РОВД!#REF!</f>
        <v>#REF!</v>
      </c>
      <c r="AX31" s="179" t="e">
        <f t="shared" si="21"/>
        <v>#REF!</v>
      </c>
      <c r="AY31" s="396" t="e">
        <f>РОВД!#REF!</f>
        <v>#REF!</v>
      </c>
      <c r="AZ31" s="179" t="e">
        <f t="shared" si="22"/>
        <v>#REF!</v>
      </c>
      <c r="BA31" s="396" t="e">
        <f>РОВД!#REF!</f>
        <v>#REF!</v>
      </c>
      <c r="BB31" s="179" t="e">
        <f t="shared" si="23"/>
        <v>#REF!</v>
      </c>
      <c r="BC31" s="396" t="e">
        <f>РОВД!#REF!</f>
        <v>#REF!</v>
      </c>
      <c r="BD31" s="179" t="e">
        <f t="shared" si="24"/>
        <v>#REF!</v>
      </c>
      <c r="BE31" s="190"/>
      <c r="BF31" s="190"/>
      <c r="BG31" s="407">
        <v>2</v>
      </c>
      <c r="BH31" s="396" t="e">
        <f>РОВД!#REF!</f>
        <v>#REF!</v>
      </c>
      <c r="BI31" s="179" t="e">
        <f t="shared" si="25"/>
        <v>#REF!</v>
      </c>
      <c r="BJ31" s="396" t="e">
        <f>РОВД!#REF!</f>
        <v>#REF!</v>
      </c>
      <c r="BK31" s="179" t="e">
        <f t="shared" si="28"/>
        <v>#REF!</v>
      </c>
      <c r="BL31" s="396" t="e">
        <f>РОВД!#REF!</f>
        <v>#REF!</v>
      </c>
      <c r="BM31" s="179" t="e">
        <f t="shared" si="26"/>
        <v>#REF!</v>
      </c>
      <c r="BN31" s="53"/>
      <c r="BO31" s="604">
        <f>'Лемпино РН-ЮНГ'!C32</f>
        <v>8024.6</v>
      </c>
      <c r="BP31" s="742"/>
      <c r="BQ31" s="606">
        <f>'Лемпино РН-ЮНГ'!E32</f>
        <v>72</v>
      </c>
      <c r="BR31" s="723" t="e">
        <f>D31+F31+I31+K31+M31+O31+Q31+T31+V31+X31+Z31+AB31+AD31+AF31+AH31+AJ31+AL31+AP31+BB31+BD31+BI31+BK31+BM31+BQ31+AN31+AR31+AT31+AV31+AX31+AZ31</f>
        <v>#REF!</v>
      </c>
      <c r="BS31" s="724"/>
      <c r="BT31" s="536"/>
      <c r="BU31" s="93"/>
      <c r="BV31" s="93"/>
      <c r="BW31" s="93"/>
      <c r="BX31" s="2"/>
      <c r="BY31" s="2"/>
      <c r="BZ31" s="160"/>
      <c r="CA31" s="2"/>
      <c r="CB31" s="2"/>
      <c r="CC31" s="160"/>
    </row>
    <row r="32" spans="2:81" ht="16.5" thickBot="1">
      <c r="B32" s="662" t="s">
        <v>42</v>
      </c>
      <c r="C32" s="677"/>
      <c r="D32" s="201">
        <f>SUM(D8:D31)</f>
        <v>897</v>
      </c>
      <c r="E32" s="202"/>
      <c r="F32" s="203">
        <f>SUM(F8:F31)</f>
        <v>0</v>
      </c>
      <c r="G32" s="205"/>
      <c r="H32" s="394"/>
      <c r="I32" s="203" t="e">
        <f>SUM(I8:I31)</f>
        <v>#REF!</v>
      </c>
      <c r="J32" s="202"/>
      <c r="K32" s="203" t="e">
        <f>SUM(K8:K31)</f>
        <v>#REF!</v>
      </c>
      <c r="L32" s="394"/>
      <c r="M32" s="203" t="e">
        <f>SUM(M8:M31)</f>
        <v>#REF!</v>
      </c>
      <c r="N32" s="394"/>
      <c r="O32" s="203" t="e">
        <f>SUM(O8:O31)</f>
        <v>#REF!</v>
      </c>
      <c r="P32" s="394"/>
      <c r="Q32" s="203" t="e">
        <f>SUM(Q8:Q31)</f>
        <v>#REF!</v>
      </c>
      <c r="R32" s="210"/>
      <c r="S32" s="404"/>
      <c r="T32" s="203" t="e">
        <f>SUM(T8:T31)</f>
        <v>#REF!</v>
      </c>
      <c r="U32" s="404"/>
      <c r="V32" s="203" t="e">
        <f>SUM(V8:V31)</f>
        <v>#REF!</v>
      </c>
      <c r="W32" s="404"/>
      <c r="X32" s="203" t="e">
        <f>SUM(X8:X31)</f>
        <v>#REF!</v>
      </c>
      <c r="Y32" s="404"/>
      <c r="Z32" s="203" t="e">
        <f>SUM(Z8:Z31)</f>
        <v>#REF!</v>
      </c>
      <c r="AA32" s="453"/>
      <c r="AB32" s="203" t="e">
        <f>SUM(AB8:AB31)</f>
        <v>#REF!</v>
      </c>
      <c r="AC32" s="404"/>
      <c r="AD32" s="203" t="e">
        <f>SUM(AD8:AD31)</f>
        <v>#REF!</v>
      </c>
      <c r="AE32" s="404"/>
      <c r="AF32" s="203" t="e">
        <f>SUM(AF8:AF31)</f>
        <v>#REF!</v>
      </c>
      <c r="AG32" s="404"/>
      <c r="AH32" s="203" t="e">
        <f>SUM(AH8:AH31)</f>
        <v>#REF!</v>
      </c>
      <c r="AI32" s="404"/>
      <c r="AJ32" s="203" t="e">
        <f>SUM(AJ8:AJ31)</f>
        <v>#REF!</v>
      </c>
      <c r="AK32" s="404"/>
      <c r="AL32" s="203" t="e">
        <f>SUM(AL8:AL31)</f>
        <v>#REF!</v>
      </c>
      <c r="AM32" s="404"/>
      <c r="AN32" s="203" t="e">
        <f>SUM(AN8:AN31)</f>
        <v>#REF!</v>
      </c>
      <c r="AO32" s="404"/>
      <c r="AP32" s="203" t="e">
        <f>SUM(AP8:AP31)</f>
        <v>#REF!</v>
      </c>
      <c r="AQ32" s="404"/>
      <c r="AR32" s="203" t="e">
        <f>SUM(AR8:AR31)</f>
        <v>#REF!</v>
      </c>
      <c r="AS32" s="404"/>
      <c r="AT32" s="203" t="e">
        <f>SUM(AT8:AT31)</f>
        <v>#REF!</v>
      </c>
      <c r="AU32" s="404"/>
      <c r="AV32" s="203" t="e">
        <f>SUM(AV8:AV31)</f>
        <v>#REF!</v>
      </c>
      <c r="AW32" s="404"/>
      <c r="AX32" s="203" t="e">
        <f>SUM(AX8:AX31)</f>
        <v>#REF!</v>
      </c>
      <c r="AY32" s="404"/>
      <c r="AZ32" s="203" t="e">
        <f>SUM(AZ8:AZ31)</f>
        <v>#REF!</v>
      </c>
      <c r="BA32" s="404"/>
      <c r="BB32" s="203" t="e">
        <f>SUM(BB8:BB31)</f>
        <v>#REF!</v>
      </c>
      <c r="BC32" s="404"/>
      <c r="BD32" s="203" t="e">
        <f>SUM(BD8:BD31)</f>
        <v>#REF!</v>
      </c>
      <c r="BE32" s="207"/>
      <c r="BF32" s="207"/>
      <c r="BG32" s="208"/>
      <c r="BH32" s="404"/>
      <c r="BI32" s="203" t="e">
        <f>SUM(BI8:BI31)</f>
        <v>#REF!</v>
      </c>
      <c r="BJ32" s="404"/>
      <c r="BK32" s="203" t="e">
        <f>SUM(BK8:BK31)</f>
        <v>#REF!</v>
      </c>
      <c r="BL32" s="404"/>
      <c r="BM32" s="203" t="e">
        <f>SUM(BM8:BM31)</f>
        <v>#REF!</v>
      </c>
      <c r="BN32" s="205"/>
      <c r="BO32" s="743"/>
      <c r="BP32" s="744"/>
      <c r="BQ32" s="210">
        <f>SUM(BQ8:BQ31)</f>
        <v>3696</v>
      </c>
      <c r="BR32" s="737" t="e">
        <f>D32+F32+I32+K32+M32+O32+Q32+T32+V32+X32+Z32+AB32+AD32+AF32+AH32+AJ32+AL32+AV32+AX32+AZ32+AP32+BB32+BD32+BI32+BK32+BM32+BQ32+AN32+AR32+AT32</f>
        <v>#REF!</v>
      </c>
      <c r="BS32" s="738"/>
      <c r="BT32" s="82"/>
      <c r="BU32" s="82"/>
      <c r="BV32" s="82"/>
      <c r="BW32" s="82"/>
      <c r="BX32" s="83"/>
      <c r="BY32" s="2"/>
      <c r="BZ32" s="2"/>
      <c r="CA32" s="2"/>
      <c r="CB32" s="2"/>
      <c r="CC32" s="2"/>
    </row>
    <row r="33" spans="3:71" ht="24.75" customHeight="1">
      <c r="C33" s="108"/>
      <c r="D33" s="131"/>
      <c r="E33" s="136"/>
      <c r="F33" s="131"/>
      <c r="H33" s="108"/>
      <c r="I33" s="131"/>
      <c r="J33" s="132"/>
      <c r="K33" s="131"/>
      <c r="L33" s="132"/>
      <c r="M33" s="131"/>
      <c r="N33" s="132"/>
      <c r="O33" s="131"/>
      <c r="P33" s="132"/>
      <c r="Q33" s="131"/>
      <c r="S33" s="132"/>
      <c r="T33" s="131"/>
      <c r="U33" s="132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2"/>
      <c r="AL33" s="131"/>
      <c r="AM33" s="132"/>
      <c r="AN33" s="131"/>
      <c r="AO33" s="132"/>
      <c r="AP33" s="131"/>
      <c r="AQ33" s="132"/>
      <c r="AR33" s="131"/>
      <c r="AS33" s="131"/>
      <c r="AT33" s="131"/>
      <c r="AU33" s="108"/>
      <c r="AV33" s="139"/>
      <c r="AW33" s="140"/>
      <c r="AX33" s="139"/>
      <c r="AY33" s="140"/>
      <c r="AZ33" s="139"/>
      <c r="BA33" s="140"/>
      <c r="BB33" s="139"/>
      <c r="BC33" s="140"/>
      <c r="BD33" s="139"/>
      <c r="BE33" s="139"/>
      <c r="BF33" s="139"/>
      <c r="BH33" s="140"/>
      <c r="BI33" s="139"/>
      <c r="BJ33" s="140"/>
      <c r="BK33" s="139"/>
      <c r="BL33" s="126"/>
      <c r="BM33" s="139"/>
      <c r="BQ33" s="124"/>
      <c r="BR33" s="197" t="s">
        <v>50</v>
      </c>
      <c r="BS33" s="198" t="e">
        <f>SUM(BR8:BR31)/24</f>
        <v>#REF!</v>
      </c>
    </row>
    <row r="34" spans="3:71" s="2" customFormat="1" ht="15.75">
      <c r="C34" s="108"/>
      <c r="D34" s="131"/>
      <c r="E34" s="136"/>
      <c r="F34" s="131"/>
      <c r="G34" s="9"/>
      <c r="H34" s="108"/>
      <c r="I34" s="131"/>
      <c r="J34" s="192"/>
      <c r="K34" s="131"/>
      <c r="L34" s="192"/>
      <c r="M34" s="131"/>
      <c r="N34" s="192"/>
      <c r="O34" s="131"/>
      <c r="P34" s="192"/>
      <c r="Q34" s="131"/>
      <c r="S34" s="192"/>
      <c r="T34" s="131"/>
      <c r="U34" s="192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92"/>
      <c r="AL34" s="131"/>
      <c r="AM34" s="192"/>
      <c r="AN34" s="131"/>
      <c r="AO34" s="192"/>
      <c r="AP34" s="131"/>
      <c r="AQ34" s="192"/>
      <c r="AR34" s="131"/>
      <c r="AS34" s="131"/>
      <c r="AT34" s="131"/>
      <c r="AU34" s="108"/>
      <c r="AV34" s="139"/>
      <c r="AW34" s="193"/>
      <c r="AX34" s="139"/>
      <c r="AY34" s="193"/>
      <c r="AZ34" s="139"/>
      <c r="BA34" s="193"/>
      <c r="BB34" s="139"/>
      <c r="BC34" s="193"/>
      <c r="BD34" s="139"/>
      <c r="BE34" s="139"/>
      <c r="BF34" s="139"/>
      <c r="BH34" s="193"/>
      <c r="BI34" s="139"/>
      <c r="BJ34" s="193"/>
      <c r="BK34" s="139"/>
      <c r="BL34" s="194"/>
      <c r="BM34" s="139"/>
      <c r="BN34" s="138"/>
      <c r="BQ34" s="124"/>
      <c r="BR34" s="146" t="s">
        <v>51</v>
      </c>
      <c r="BS34" s="199" t="e">
        <f>MAX(BR8:BR31)</f>
        <v>#REF!</v>
      </c>
    </row>
    <row r="35" spans="3:71" s="2" customFormat="1" ht="15.75">
      <c r="C35" s="110"/>
      <c r="D35" s="195"/>
      <c r="E35" s="196"/>
      <c r="F35" s="195"/>
      <c r="G35" s="9"/>
      <c r="H35" s="110"/>
      <c r="I35" s="195"/>
      <c r="J35" s="192"/>
      <c r="K35" s="195"/>
      <c r="L35" s="192"/>
      <c r="M35" s="195"/>
      <c r="N35" s="192"/>
      <c r="O35" s="195"/>
      <c r="P35" s="192"/>
      <c r="Q35" s="195"/>
      <c r="S35" s="192"/>
      <c r="T35" s="195"/>
      <c r="U35" s="192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2"/>
      <c r="AL35" s="195"/>
      <c r="AM35" s="192"/>
      <c r="AN35" s="195"/>
      <c r="AO35" s="192"/>
      <c r="AP35" s="195"/>
      <c r="AQ35" s="192"/>
      <c r="AR35" s="195"/>
      <c r="AS35" s="195"/>
      <c r="AT35" s="195"/>
      <c r="AU35" s="110"/>
      <c r="AV35" s="141"/>
      <c r="AW35" s="193"/>
      <c r="AX35" s="141"/>
      <c r="AY35" s="193"/>
      <c r="AZ35" s="141"/>
      <c r="BA35" s="193"/>
      <c r="BB35" s="141"/>
      <c r="BC35" s="193"/>
      <c r="BD35" s="141"/>
      <c r="BE35" s="141"/>
      <c r="BF35" s="141"/>
      <c r="BH35" s="193"/>
      <c r="BI35" s="141"/>
      <c r="BJ35" s="193"/>
      <c r="BK35" s="141"/>
      <c r="BL35" s="194"/>
      <c r="BM35" s="141"/>
      <c r="BN35" s="138"/>
      <c r="BQ35" s="125"/>
      <c r="BR35" s="148" t="s">
        <v>54</v>
      </c>
      <c r="BS35" s="200" t="e">
        <f>BS33/BS34</f>
        <v>#REF!</v>
      </c>
    </row>
    <row r="36" ht="12.75" hidden="1">
      <c r="G36" s="115"/>
    </row>
    <row r="37" ht="12.75" hidden="1">
      <c r="G37" s="115"/>
    </row>
    <row r="38" ht="66.75" customHeight="1" hidden="1">
      <c r="G38" s="115"/>
    </row>
    <row r="39" spans="2:69" ht="15.75" customHeight="1" hidden="1">
      <c r="B39" s="96" t="s">
        <v>237</v>
      </c>
      <c r="D39" s="2"/>
      <c r="E39" s="99"/>
      <c r="F39" s="137"/>
      <c r="G39" s="219"/>
      <c r="K39" s="96"/>
      <c r="L39" s="96" t="s">
        <v>237</v>
      </c>
      <c r="M39" s="96"/>
      <c r="O39" s="2"/>
      <c r="P39" s="99"/>
      <c r="Q39" s="137"/>
      <c r="R39" s="96" t="s">
        <v>237</v>
      </c>
      <c r="S39" s="109"/>
      <c r="T39" s="109" t="s">
        <v>70</v>
      </c>
      <c r="U39" s="109"/>
      <c r="AZ39" s="96" t="s">
        <v>237</v>
      </c>
      <c r="BA39" s="96"/>
      <c r="BC39" s="2"/>
      <c r="BD39" s="99"/>
      <c r="BE39" s="2"/>
      <c r="BF39" s="2"/>
      <c r="BG39" s="96" t="s">
        <v>237</v>
      </c>
      <c r="BH39" s="137"/>
      <c r="BI39" s="109"/>
      <c r="BJ39" s="109" t="s">
        <v>70</v>
      </c>
      <c r="BK39" s="109"/>
      <c r="BM39" s="102"/>
      <c r="BN39" s="102"/>
      <c r="BO39" s="102"/>
      <c r="BP39" s="102"/>
      <c r="BQ39" s="102"/>
    </row>
    <row r="40" spans="4:69" ht="12.75" hidden="1">
      <c r="D40" s="8"/>
      <c r="E40" s="752" t="s">
        <v>65</v>
      </c>
      <c r="F40" s="752"/>
      <c r="G40" s="219"/>
      <c r="O40" s="8"/>
      <c r="P40" s="752" t="s">
        <v>65</v>
      </c>
      <c r="Q40" s="752"/>
      <c r="BC40" s="8"/>
      <c r="BD40" s="752" t="s">
        <v>65</v>
      </c>
      <c r="BE40" s="752"/>
      <c r="BF40" s="752"/>
      <c r="BG40" s="752"/>
      <c r="BH40" s="752"/>
      <c r="BM40" s="102"/>
      <c r="BN40" s="102"/>
      <c r="BO40" s="2"/>
      <c r="BP40" s="2"/>
      <c r="BQ40" s="2"/>
    </row>
    <row r="41" spans="7:69" ht="12.75">
      <c r="G41" s="9"/>
      <c r="BH41" s="2"/>
      <c r="BI41" s="2"/>
      <c r="BJ41" s="2"/>
      <c r="BK41" s="2"/>
      <c r="BL41" s="2"/>
      <c r="BM41" s="2"/>
      <c r="BN41" s="138"/>
      <c r="BO41" s="2"/>
      <c r="BP41" s="2"/>
      <c r="BQ41" s="2"/>
    </row>
    <row r="42" spans="7:69" ht="12.75" customHeight="1" hidden="1">
      <c r="G42" s="9"/>
      <c r="BH42" s="2"/>
      <c r="BI42" s="2"/>
      <c r="BJ42" s="2"/>
      <c r="BK42" s="2"/>
      <c r="BL42" s="2"/>
      <c r="BM42" s="2"/>
      <c r="BN42" s="138"/>
      <c r="BO42" s="2"/>
      <c r="BP42" s="2"/>
      <c r="BQ42" s="2"/>
    </row>
    <row r="43" ht="12.75" customHeight="1" hidden="1">
      <c r="G43" s="115"/>
    </row>
    <row r="44" ht="12.75" customHeight="1" hidden="1">
      <c r="G44" s="115"/>
    </row>
    <row r="45" ht="12.75">
      <c r="G45" s="115"/>
    </row>
    <row r="46" spans="7:69" ht="12.75">
      <c r="G46" s="115"/>
      <c r="BH46" s="98" t="s">
        <v>238</v>
      </c>
      <c r="BI46" s="98"/>
      <c r="BJ46" s="98"/>
      <c r="BK46" s="98"/>
      <c r="BN46" s="98"/>
      <c r="BO46" s="98"/>
      <c r="BP46" s="98" t="s">
        <v>216</v>
      </c>
      <c r="BQ46" s="98"/>
    </row>
    <row r="47" spans="7:71" ht="12.75">
      <c r="G47" s="115"/>
      <c r="BH47" s="97" t="s">
        <v>210</v>
      </c>
      <c r="BI47" s="97"/>
      <c r="BJ47" s="97"/>
      <c r="BN47"/>
      <c r="BP47" s="98" t="s">
        <v>255</v>
      </c>
      <c r="BQ47" s="98"/>
      <c r="BR47" s="98"/>
      <c r="BS47" s="98"/>
    </row>
    <row r="48" ht="12.75">
      <c r="G48" s="115"/>
    </row>
    <row r="49" spans="7:70" ht="12.75">
      <c r="G49" s="9"/>
      <c r="BH49" s="99"/>
      <c r="BI49" s="99"/>
      <c r="BJ49" s="99"/>
      <c r="BM49" s="2"/>
      <c r="BN49" s="138"/>
      <c r="BO49" s="2"/>
      <c r="BP49" s="99"/>
      <c r="BQ49" s="99"/>
      <c r="BR49" s="99"/>
    </row>
    <row r="50" ht="12.75">
      <c r="G50" s="115"/>
    </row>
    <row r="51" spans="7:71" ht="12.75">
      <c r="G51" s="115"/>
      <c r="BR51" s="607" t="e">
        <f>'Лемпино РН-ЮНГ'!E33+РОВД!#REF!+РОВД!#REF!+РОВД!M33</f>
        <v>#REF!</v>
      </c>
      <c r="BS51" s="608" t="e">
        <f>BR32=BR51</f>
        <v>#REF!</v>
      </c>
    </row>
  </sheetData>
  <sheetProtection/>
  <mergeCells count="80">
    <mergeCell ref="H4:Q4"/>
    <mergeCell ref="J5:K5"/>
    <mergeCell ref="AA5:AB5"/>
    <mergeCell ref="AC5:AD5"/>
    <mergeCell ref="U5:V5"/>
    <mergeCell ref="C5:D5"/>
    <mergeCell ref="E5:F5"/>
    <mergeCell ref="C4:F4"/>
    <mergeCell ref="P5:Q5"/>
    <mergeCell ref="S5:T5"/>
    <mergeCell ref="W5:X5"/>
    <mergeCell ref="BD40:BH40"/>
    <mergeCell ref="E40:F40"/>
    <mergeCell ref="P40:Q40"/>
    <mergeCell ref="H5:I5"/>
    <mergeCell ref="N5:O5"/>
    <mergeCell ref="AK5:AL5"/>
    <mergeCell ref="AO5:AP5"/>
    <mergeCell ref="BH5:BI5"/>
    <mergeCell ref="L5:M5"/>
    <mergeCell ref="BO32:BP32"/>
    <mergeCell ref="BC5:BD5"/>
    <mergeCell ref="BO4:BQ4"/>
    <mergeCell ref="AM5:AN5"/>
    <mergeCell ref="Y5:Z5"/>
    <mergeCell ref="AE5:AF5"/>
    <mergeCell ref="AG5:AH5"/>
    <mergeCell ref="AI5:AJ5"/>
    <mergeCell ref="S4:AT4"/>
    <mergeCell ref="AS5:AT5"/>
    <mergeCell ref="BR32:BS32"/>
    <mergeCell ref="R4:R6"/>
    <mergeCell ref="BR30:BS30"/>
    <mergeCell ref="BR31:BS31"/>
    <mergeCell ref="BR29:BS29"/>
    <mergeCell ref="BG4:BG6"/>
    <mergeCell ref="BP7:BP31"/>
    <mergeCell ref="BP5:BP6"/>
    <mergeCell ref="AW5:AX5"/>
    <mergeCell ref="BR28:BS28"/>
    <mergeCell ref="BR25:BS25"/>
    <mergeCell ref="BR22:BS22"/>
    <mergeCell ref="B1:Q1"/>
    <mergeCell ref="B2:Q2"/>
    <mergeCell ref="AY5:AZ5"/>
    <mergeCell ref="B4:B6"/>
    <mergeCell ref="R1:AM1"/>
    <mergeCell ref="BR10:BS10"/>
    <mergeCell ref="AQ5:AR5"/>
    <mergeCell ref="BA5:BB5"/>
    <mergeCell ref="BV1:CC1"/>
    <mergeCell ref="BV2:CC2"/>
    <mergeCell ref="BR13:BS13"/>
    <mergeCell ref="BR15:BS15"/>
    <mergeCell ref="BR16:BS16"/>
    <mergeCell ref="BE2:BU2"/>
    <mergeCell ref="BR4:BS6"/>
    <mergeCell ref="BL5:BM5"/>
    <mergeCell ref="BJ5:BK5"/>
    <mergeCell ref="BH4:BM4"/>
    <mergeCell ref="B32:C32"/>
    <mergeCell ref="BR19:BS19"/>
    <mergeCell ref="BR24:BS24"/>
    <mergeCell ref="BR26:BS26"/>
    <mergeCell ref="BR27:BS27"/>
    <mergeCell ref="BR7:BS7"/>
    <mergeCell ref="BR8:BS8"/>
    <mergeCell ref="BR9:BS9"/>
    <mergeCell ref="BR18:BS18"/>
    <mergeCell ref="BR23:BS23"/>
    <mergeCell ref="AN1:BD1"/>
    <mergeCell ref="BR21:BS21"/>
    <mergeCell ref="BR20:BS20"/>
    <mergeCell ref="BR11:BS11"/>
    <mergeCell ref="BR12:BS12"/>
    <mergeCell ref="BR14:BS14"/>
    <mergeCell ref="BR17:BS17"/>
    <mergeCell ref="AU5:AV5"/>
    <mergeCell ref="BE1:BU1"/>
    <mergeCell ref="AU4:BD4"/>
  </mergeCells>
  <printOptions horizontalCentered="1"/>
  <pageMargins left="0" right="0" top="0.41" bottom="0.16" header="0.5118110236220472" footer="0.16"/>
  <pageSetup fitToWidth="0" fitToHeight="1" horizontalDpi="1200" verticalDpi="1200" orientation="landscape" paperSize="9" scale="66" r:id="rId3"/>
  <colBreaks count="4" manualBreakCount="4">
    <brk id="17" max="11" man="1"/>
    <brk id="39" max="49" man="1"/>
    <brk id="56" max="49" man="1"/>
    <brk id="73" max="49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DJ87"/>
  <sheetViews>
    <sheetView zoomScale="70" zoomScaleNormal="70" zoomScalePageLayoutView="0" workbookViewId="0" topLeftCell="A1">
      <pane ySplit="3" topLeftCell="A4" activePane="bottomLeft" state="frozen"/>
      <selection pane="topLeft" activeCell="S1" sqref="S1"/>
      <selection pane="bottomLeft" activeCell="H61" sqref="H61"/>
    </sheetView>
  </sheetViews>
  <sheetFormatPr defaultColWidth="9.140625" defaultRowHeight="12.75"/>
  <cols>
    <col min="1" max="1" width="9.140625" style="393" customWidth="1"/>
    <col min="2" max="2" width="10.8515625" style="348" customWidth="1"/>
    <col min="3" max="3" width="14.57421875" style="348" customWidth="1"/>
    <col min="4" max="4" width="11.7109375" style="348" customWidth="1"/>
    <col min="5" max="5" width="9.140625" style="393" customWidth="1"/>
    <col min="6" max="6" width="10.8515625" style="348" customWidth="1"/>
    <col min="7" max="7" width="14.57421875" style="348" customWidth="1"/>
    <col min="8" max="8" width="11.7109375" style="348" customWidth="1"/>
    <col min="9" max="9" width="9.140625" style="393" customWidth="1"/>
    <col min="10" max="10" width="10.8515625" style="348" customWidth="1"/>
    <col min="11" max="11" width="14.57421875" style="348" customWidth="1"/>
    <col min="12" max="12" width="11.7109375" style="348" customWidth="1"/>
    <col min="13" max="13" width="9.140625" style="393" customWidth="1"/>
    <col min="14" max="14" width="10.8515625" style="348" customWidth="1"/>
    <col min="15" max="15" width="14.57421875" style="348" customWidth="1"/>
    <col min="16" max="16" width="11.7109375" style="348" customWidth="1"/>
    <col min="17" max="17" width="1.7109375" style="346" customWidth="1"/>
    <col min="18" max="18" width="9.140625" style="393" customWidth="1"/>
    <col min="19" max="19" width="10.8515625" style="348" customWidth="1"/>
    <col min="20" max="20" width="14.57421875" style="348" customWidth="1"/>
    <col min="21" max="21" width="11.7109375" style="348" customWidth="1"/>
    <col min="22" max="22" width="9.140625" style="393" customWidth="1"/>
    <col min="23" max="23" width="10.8515625" style="348" customWidth="1"/>
    <col min="24" max="24" width="14.57421875" style="348" customWidth="1"/>
    <col min="25" max="25" width="11.7109375" style="348" customWidth="1"/>
    <col min="26" max="26" width="1.1484375" style="347" customWidth="1"/>
    <col min="27" max="27" width="9.140625" style="393" customWidth="1"/>
    <col min="28" max="28" width="10.8515625" style="348" customWidth="1"/>
    <col min="29" max="29" width="14.57421875" style="348" customWidth="1"/>
    <col min="30" max="30" width="11.7109375" style="348" customWidth="1"/>
    <col min="31" max="31" width="7.28125" style="393" customWidth="1"/>
    <col min="32" max="32" width="10.8515625" style="348" customWidth="1"/>
    <col min="33" max="33" width="14.57421875" style="348" customWidth="1"/>
    <col min="34" max="34" width="11.7109375" style="348" customWidth="1"/>
    <col min="35" max="35" width="2.00390625" style="346" customWidth="1"/>
    <col min="36" max="36" width="7.140625" style="393" customWidth="1"/>
    <col min="37" max="37" width="10.8515625" style="348" customWidth="1"/>
    <col min="38" max="38" width="14.57421875" style="348" customWidth="1"/>
    <col min="39" max="39" width="11.28125" style="348" customWidth="1"/>
    <col min="40" max="40" width="0.71875" style="348" customWidth="1"/>
    <col min="41" max="41" width="7.140625" style="393" customWidth="1"/>
    <col min="42" max="42" width="10.8515625" style="348" customWidth="1"/>
    <col min="43" max="43" width="14.57421875" style="348" customWidth="1"/>
    <col min="44" max="44" width="10.00390625" style="348" customWidth="1"/>
    <col min="45" max="45" width="0.9921875" style="348" customWidth="1"/>
    <col min="46" max="46" width="6.8515625" style="393" customWidth="1"/>
    <col min="47" max="47" width="10.8515625" style="348" customWidth="1"/>
    <col min="48" max="48" width="14.57421875" style="348" customWidth="1"/>
    <col min="49" max="49" width="11.7109375" style="348" customWidth="1"/>
    <col min="50" max="50" width="0.85546875" style="348" customWidth="1"/>
    <col min="51" max="51" width="7.28125" style="393" customWidth="1"/>
    <col min="52" max="52" width="10.8515625" style="348" customWidth="1"/>
    <col min="53" max="53" width="13.140625" style="348" customWidth="1"/>
    <col min="54" max="54" width="11.7109375" style="348" customWidth="1"/>
    <col min="55" max="55" width="1.7109375" style="346" customWidth="1"/>
    <col min="56" max="56" width="7.140625" style="393" customWidth="1"/>
    <col min="57" max="57" width="10.8515625" style="348" customWidth="1"/>
    <col min="58" max="58" width="14.57421875" style="348" customWidth="1"/>
    <col min="59" max="59" width="11.28125" style="348" customWidth="1"/>
    <col min="60" max="60" width="0.71875" style="348" customWidth="1"/>
    <col min="61" max="61" width="7.140625" style="393" customWidth="1"/>
    <col min="62" max="62" width="10.8515625" style="348" customWidth="1"/>
    <col min="63" max="63" width="14.57421875" style="348" customWidth="1"/>
    <col min="64" max="64" width="10.00390625" style="348" customWidth="1"/>
    <col min="65" max="65" width="0.9921875" style="348" customWidth="1"/>
    <col min="66" max="66" width="6.8515625" style="393" customWidth="1"/>
    <col min="67" max="67" width="10.8515625" style="348" customWidth="1"/>
    <col min="68" max="68" width="14.57421875" style="348" customWidth="1"/>
    <col min="69" max="69" width="11.7109375" style="348" customWidth="1"/>
    <col min="70" max="70" width="0.85546875" style="348" customWidth="1"/>
    <col min="71" max="71" width="7.28125" style="393" customWidth="1"/>
    <col min="72" max="72" width="10.8515625" style="348" customWidth="1"/>
    <col min="73" max="73" width="13.140625" style="348" customWidth="1"/>
    <col min="74" max="74" width="11.7109375" style="348" customWidth="1"/>
    <col min="75" max="75" width="2.00390625" style="346" customWidth="1"/>
    <col min="76" max="76" width="7.140625" style="393" customWidth="1"/>
    <col min="77" max="77" width="10.8515625" style="348" customWidth="1"/>
    <col min="78" max="78" width="14.57421875" style="348" customWidth="1"/>
    <col min="79" max="79" width="11.28125" style="348" customWidth="1"/>
    <col min="80" max="80" width="0.71875" style="348" customWidth="1"/>
    <col min="81" max="81" width="7.140625" style="393" customWidth="1"/>
    <col min="82" max="82" width="10.8515625" style="348" customWidth="1"/>
    <col min="83" max="83" width="14.57421875" style="348" customWidth="1"/>
    <col min="84" max="84" width="10.00390625" style="348" customWidth="1"/>
    <col min="85" max="85" width="0.9921875" style="348" customWidth="1"/>
    <col min="86" max="86" width="6.8515625" style="393" customWidth="1"/>
    <col min="87" max="87" width="10.8515625" style="348" customWidth="1"/>
    <col min="88" max="88" width="14.57421875" style="348" customWidth="1"/>
    <col min="89" max="89" width="11.7109375" style="348" customWidth="1"/>
    <col min="90" max="90" width="0.85546875" style="348" customWidth="1"/>
    <col min="91" max="91" width="7.28125" style="393" customWidth="1"/>
    <col min="92" max="92" width="10.8515625" style="348" customWidth="1"/>
    <col min="93" max="93" width="13.140625" style="348" customWidth="1"/>
    <col min="94" max="94" width="11.7109375" style="348" customWidth="1"/>
    <col min="95" max="95" width="1.7109375" style="346" customWidth="1"/>
    <col min="96" max="96" width="7.140625" style="393" customWidth="1"/>
    <col min="97" max="97" width="10.8515625" style="348" customWidth="1"/>
    <col min="98" max="98" width="14.57421875" style="348" customWidth="1"/>
    <col min="99" max="99" width="11.28125" style="348" customWidth="1"/>
    <col min="100" max="100" width="0.71875" style="348" customWidth="1"/>
    <col min="101" max="101" width="7.140625" style="393" customWidth="1"/>
    <col min="102" max="102" width="10.8515625" style="348" customWidth="1"/>
    <col min="103" max="103" width="14.57421875" style="348" customWidth="1"/>
    <col min="104" max="104" width="10.00390625" style="348" customWidth="1"/>
    <col min="105" max="105" width="0.9921875" style="348" customWidth="1"/>
    <col min="106" max="106" width="6.8515625" style="393" customWidth="1"/>
    <col min="107" max="107" width="10.8515625" style="348" customWidth="1"/>
    <col min="108" max="108" width="14.57421875" style="348" customWidth="1"/>
    <col min="109" max="109" width="11.7109375" style="348" customWidth="1"/>
    <col min="110" max="110" width="0.85546875" style="348" customWidth="1"/>
    <col min="111" max="111" width="7.28125" style="393" customWidth="1"/>
    <col min="112" max="112" width="10.8515625" style="348" customWidth="1"/>
    <col min="113" max="113" width="13.140625" style="348" customWidth="1"/>
    <col min="114" max="114" width="11.7109375" style="348" customWidth="1"/>
    <col min="115" max="16384" width="9.140625" style="348" customWidth="1"/>
  </cols>
  <sheetData>
    <row r="1" spans="1:114" ht="13.5" thickBot="1">
      <c r="A1" s="476"/>
      <c r="B1" s="477" t="s">
        <v>55</v>
      </c>
      <c r="C1" s="478">
        <v>42000</v>
      </c>
      <c r="D1" s="479"/>
      <c r="E1" s="476"/>
      <c r="F1" s="477" t="s">
        <v>55</v>
      </c>
      <c r="G1" s="478">
        <v>42000</v>
      </c>
      <c r="H1" s="479"/>
      <c r="I1" s="476"/>
      <c r="J1" s="477" t="s">
        <v>55</v>
      </c>
      <c r="K1" s="478">
        <v>42000</v>
      </c>
      <c r="L1" s="479"/>
      <c r="M1" s="476"/>
      <c r="N1" s="477" t="s">
        <v>55</v>
      </c>
      <c r="O1" s="478">
        <v>42000</v>
      </c>
      <c r="P1" s="479"/>
      <c r="R1" s="480"/>
      <c r="S1" s="481" t="s">
        <v>59</v>
      </c>
      <c r="T1" s="480">
        <v>42000</v>
      </c>
      <c r="U1" s="486"/>
      <c r="V1" s="480"/>
      <c r="W1" s="481" t="s">
        <v>59</v>
      </c>
      <c r="X1" s="480">
        <v>42000</v>
      </c>
      <c r="Y1" s="482"/>
      <c r="Z1" s="483"/>
      <c r="AA1" s="487"/>
      <c r="AB1" s="481" t="s">
        <v>59</v>
      </c>
      <c r="AC1" s="480">
        <v>42000</v>
      </c>
      <c r="AD1" s="486"/>
      <c r="AE1" s="487"/>
      <c r="AF1" s="481" t="s">
        <v>59</v>
      </c>
      <c r="AG1" s="480">
        <v>42000</v>
      </c>
      <c r="AH1" s="486"/>
      <c r="AJ1" s="480"/>
      <c r="AK1" s="481" t="s">
        <v>60</v>
      </c>
      <c r="AL1" s="480">
        <v>9600</v>
      </c>
      <c r="AM1" s="482"/>
      <c r="AN1" s="483"/>
      <c r="AO1" s="480"/>
      <c r="AP1" s="481" t="s">
        <v>60</v>
      </c>
      <c r="AQ1" s="480">
        <v>9600</v>
      </c>
      <c r="AR1" s="482"/>
      <c r="AS1" s="482"/>
      <c r="AT1" s="480"/>
      <c r="AU1" s="481" t="s">
        <v>60</v>
      </c>
      <c r="AV1" s="480">
        <v>9600</v>
      </c>
      <c r="AW1" s="482"/>
      <c r="AX1" s="484"/>
      <c r="AY1" s="476"/>
      <c r="AZ1" s="477" t="s">
        <v>60</v>
      </c>
      <c r="BA1" s="478">
        <v>9600</v>
      </c>
      <c r="BB1" s="479"/>
      <c r="BD1" s="480"/>
      <c r="BE1" s="481" t="s">
        <v>30</v>
      </c>
      <c r="BF1" s="480">
        <v>15</v>
      </c>
      <c r="BG1" s="482"/>
      <c r="BH1" s="483"/>
      <c r="BI1" s="476"/>
      <c r="BJ1" s="477" t="s">
        <v>30</v>
      </c>
      <c r="BK1" s="478">
        <v>15</v>
      </c>
      <c r="BL1" s="479"/>
      <c r="BM1" s="485"/>
      <c r="BN1" s="476"/>
      <c r="BO1" s="477" t="s">
        <v>30</v>
      </c>
      <c r="BP1" s="478">
        <v>15</v>
      </c>
      <c r="BQ1" s="479"/>
      <c r="BR1" s="484"/>
      <c r="BS1" s="476"/>
      <c r="BT1" s="477" t="s">
        <v>30</v>
      </c>
      <c r="BU1" s="478">
        <v>15</v>
      </c>
      <c r="BV1" s="479"/>
      <c r="BX1" s="480"/>
      <c r="BY1" s="481" t="s">
        <v>76</v>
      </c>
      <c r="BZ1" s="480">
        <v>9600</v>
      </c>
      <c r="CA1" s="482"/>
      <c r="CB1" s="483"/>
      <c r="CC1" s="480"/>
      <c r="CD1" s="481" t="s">
        <v>76</v>
      </c>
      <c r="CE1" s="480">
        <v>9600</v>
      </c>
      <c r="CF1" s="482"/>
      <c r="CG1" s="482"/>
      <c r="CH1" s="480"/>
      <c r="CI1" s="481" t="s">
        <v>76</v>
      </c>
      <c r="CJ1" s="480">
        <v>9600</v>
      </c>
      <c r="CK1" s="482"/>
      <c r="CL1" s="484"/>
      <c r="CM1" s="476"/>
      <c r="CN1" s="481" t="s">
        <v>76</v>
      </c>
      <c r="CO1" s="478">
        <v>9600</v>
      </c>
      <c r="CP1" s="479"/>
      <c r="CR1" s="480"/>
      <c r="CS1" s="481" t="s">
        <v>31</v>
      </c>
      <c r="CT1" s="480">
        <v>15</v>
      </c>
      <c r="CU1" s="482"/>
      <c r="CV1" s="483"/>
      <c r="CW1" s="476"/>
      <c r="CX1" s="481" t="s">
        <v>31</v>
      </c>
      <c r="CY1" s="478">
        <v>15</v>
      </c>
      <c r="CZ1" s="479"/>
      <c r="DA1" s="485"/>
      <c r="DB1" s="476"/>
      <c r="DC1" s="481" t="s">
        <v>31</v>
      </c>
      <c r="DD1" s="478">
        <v>15</v>
      </c>
      <c r="DE1" s="479"/>
      <c r="DF1" s="484"/>
      <c r="DG1" s="476"/>
      <c r="DH1" s="481" t="s">
        <v>31</v>
      </c>
      <c r="DI1" s="478">
        <v>15</v>
      </c>
      <c r="DJ1" s="345"/>
    </row>
    <row r="2" spans="1:114" ht="13.5" thickBot="1">
      <c r="A2" s="756" t="s">
        <v>37</v>
      </c>
      <c r="B2" s="757"/>
      <c r="C2" s="757"/>
      <c r="D2" s="758"/>
      <c r="E2" s="756" t="s">
        <v>38</v>
      </c>
      <c r="F2" s="757"/>
      <c r="G2" s="757"/>
      <c r="H2" s="758"/>
      <c r="I2" s="756" t="s">
        <v>39</v>
      </c>
      <c r="J2" s="757"/>
      <c r="K2" s="757"/>
      <c r="L2" s="758"/>
      <c r="M2" s="756" t="s">
        <v>40</v>
      </c>
      <c r="N2" s="757"/>
      <c r="O2" s="757"/>
      <c r="P2" s="758"/>
      <c r="R2" s="756" t="s">
        <v>37</v>
      </c>
      <c r="S2" s="757"/>
      <c r="T2" s="757"/>
      <c r="U2" s="758"/>
      <c r="V2" s="756" t="s">
        <v>38</v>
      </c>
      <c r="W2" s="757"/>
      <c r="X2" s="757"/>
      <c r="Y2" s="758"/>
      <c r="Z2" s="349"/>
      <c r="AA2" s="756" t="s">
        <v>39</v>
      </c>
      <c r="AB2" s="757"/>
      <c r="AC2" s="757"/>
      <c r="AD2" s="758"/>
      <c r="AE2" s="756" t="s">
        <v>40</v>
      </c>
      <c r="AF2" s="757"/>
      <c r="AG2" s="757"/>
      <c r="AH2" s="758"/>
      <c r="AJ2" s="759" t="s">
        <v>37</v>
      </c>
      <c r="AK2" s="760"/>
      <c r="AL2" s="760"/>
      <c r="AM2" s="761"/>
      <c r="AN2" s="347"/>
      <c r="AO2" s="759" t="s">
        <v>38</v>
      </c>
      <c r="AP2" s="760"/>
      <c r="AQ2" s="760"/>
      <c r="AR2" s="761"/>
      <c r="AS2" s="350"/>
      <c r="AT2" s="759" t="s">
        <v>39</v>
      </c>
      <c r="AU2" s="760"/>
      <c r="AV2" s="760"/>
      <c r="AW2" s="761"/>
      <c r="AY2" s="762" t="s">
        <v>40</v>
      </c>
      <c r="AZ2" s="760"/>
      <c r="BA2" s="760"/>
      <c r="BB2" s="763"/>
      <c r="BD2" s="764" t="s">
        <v>37</v>
      </c>
      <c r="BE2" s="765"/>
      <c r="BF2" s="765"/>
      <c r="BG2" s="766"/>
      <c r="BH2" s="352"/>
      <c r="BI2" s="767" t="s">
        <v>38</v>
      </c>
      <c r="BJ2" s="765"/>
      <c r="BK2" s="765"/>
      <c r="BL2" s="768"/>
      <c r="BM2" s="351"/>
      <c r="BN2" s="767" t="s">
        <v>39</v>
      </c>
      <c r="BO2" s="765"/>
      <c r="BP2" s="765"/>
      <c r="BQ2" s="768"/>
      <c r="BR2" s="353"/>
      <c r="BS2" s="767" t="s">
        <v>40</v>
      </c>
      <c r="BT2" s="765"/>
      <c r="BU2" s="765"/>
      <c r="BV2" s="768"/>
      <c r="BX2" s="759" t="s">
        <v>37</v>
      </c>
      <c r="BY2" s="760"/>
      <c r="BZ2" s="760"/>
      <c r="CA2" s="761"/>
      <c r="CB2" s="347"/>
      <c r="CC2" s="759" t="s">
        <v>38</v>
      </c>
      <c r="CD2" s="760"/>
      <c r="CE2" s="760"/>
      <c r="CF2" s="761"/>
      <c r="CG2" s="350"/>
      <c r="CH2" s="759" t="s">
        <v>39</v>
      </c>
      <c r="CI2" s="760"/>
      <c r="CJ2" s="760"/>
      <c r="CK2" s="761"/>
      <c r="CM2" s="762" t="s">
        <v>40</v>
      </c>
      <c r="CN2" s="760"/>
      <c r="CO2" s="760"/>
      <c r="CP2" s="763"/>
      <c r="CR2" s="764" t="s">
        <v>37</v>
      </c>
      <c r="CS2" s="765"/>
      <c r="CT2" s="765"/>
      <c r="CU2" s="766"/>
      <c r="CV2" s="352"/>
      <c r="CW2" s="767" t="s">
        <v>38</v>
      </c>
      <c r="CX2" s="765"/>
      <c r="CY2" s="765"/>
      <c r="CZ2" s="768"/>
      <c r="DA2" s="351"/>
      <c r="DB2" s="767" t="s">
        <v>39</v>
      </c>
      <c r="DC2" s="765"/>
      <c r="DD2" s="765"/>
      <c r="DE2" s="768"/>
      <c r="DF2" s="353"/>
      <c r="DG2" s="767" t="s">
        <v>40</v>
      </c>
      <c r="DH2" s="765"/>
      <c r="DI2" s="765"/>
      <c r="DJ2" s="768"/>
    </row>
    <row r="3" spans="1:114" ht="13.5" thickBot="1">
      <c r="A3" s="354" t="s">
        <v>22</v>
      </c>
      <c r="B3" s="355" t="s">
        <v>58</v>
      </c>
      <c r="C3" s="355" t="s">
        <v>57</v>
      </c>
      <c r="D3" s="356" t="s">
        <v>56</v>
      </c>
      <c r="E3" s="354" t="s">
        <v>22</v>
      </c>
      <c r="F3" s="355" t="s">
        <v>58</v>
      </c>
      <c r="G3" s="355" t="s">
        <v>57</v>
      </c>
      <c r="H3" s="356" t="s">
        <v>56</v>
      </c>
      <c r="I3" s="354" t="s">
        <v>22</v>
      </c>
      <c r="J3" s="355" t="s">
        <v>58</v>
      </c>
      <c r="K3" s="355" t="s">
        <v>57</v>
      </c>
      <c r="L3" s="356" t="s">
        <v>56</v>
      </c>
      <c r="M3" s="357" t="s">
        <v>22</v>
      </c>
      <c r="N3" s="358" t="s">
        <v>58</v>
      </c>
      <c r="O3" s="358" t="s">
        <v>57</v>
      </c>
      <c r="P3" s="359" t="s">
        <v>56</v>
      </c>
      <c r="R3" s="357" t="s">
        <v>22</v>
      </c>
      <c r="S3" s="358" t="s">
        <v>58</v>
      </c>
      <c r="T3" s="360" t="s">
        <v>57</v>
      </c>
      <c r="U3" s="361" t="s">
        <v>56</v>
      </c>
      <c r="V3" s="362" t="s">
        <v>22</v>
      </c>
      <c r="W3" s="360" t="s">
        <v>58</v>
      </c>
      <c r="X3" s="360" t="s">
        <v>57</v>
      </c>
      <c r="Y3" s="361" t="s">
        <v>56</v>
      </c>
      <c r="Z3" s="363"/>
      <c r="AA3" s="362" t="s">
        <v>22</v>
      </c>
      <c r="AB3" s="360" t="s">
        <v>58</v>
      </c>
      <c r="AC3" s="360" t="s">
        <v>57</v>
      </c>
      <c r="AD3" s="361" t="s">
        <v>56</v>
      </c>
      <c r="AE3" s="362" t="s">
        <v>22</v>
      </c>
      <c r="AF3" s="360" t="s">
        <v>58</v>
      </c>
      <c r="AG3" s="360" t="s">
        <v>57</v>
      </c>
      <c r="AH3" s="361" t="s">
        <v>56</v>
      </c>
      <c r="AJ3" s="364" t="s">
        <v>22</v>
      </c>
      <c r="AK3" s="365" t="s">
        <v>58</v>
      </c>
      <c r="AL3" s="366" t="s">
        <v>57</v>
      </c>
      <c r="AM3" s="367" t="s">
        <v>56</v>
      </c>
      <c r="AN3" s="368"/>
      <c r="AO3" s="364" t="s">
        <v>22</v>
      </c>
      <c r="AP3" s="365" t="s">
        <v>58</v>
      </c>
      <c r="AQ3" s="366" t="s">
        <v>57</v>
      </c>
      <c r="AR3" s="367" t="s">
        <v>56</v>
      </c>
      <c r="AS3" s="369"/>
      <c r="AT3" s="364" t="s">
        <v>22</v>
      </c>
      <c r="AU3" s="365" t="s">
        <v>58</v>
      </c>
      <c r="AV3" s="366" t="s">
        <v>57</v>
      </c>
      <c r="AW3" s="367" t="s">
        <v>56</v>
      </c>
      <c r="AX3" s="370"/>
      <c r="AY3" s="364" t="s">
        <v>22</v>
      </c>
      <c r="AZ3" s="365" t="s">
        <v>58</v>
      </c>
      <c r="BA3" s="366" t="s">
        <v>57</v>
      </c>
      <c r="BB3" s="371" t="s">
        <v>56</v>
      </c>
      <c r="BD3" s="364" t="s">
        <v>22</v>
      </c>
      <c r="BE3" s="365" t="s">
        <v>58</v>
      </c>
      <c r="BF3" s="366" t="s">
        <v>57</v>
      </c>
      <c r="BG3" s="367" t="s">
        <v>56</v>
      </c>
      <c r="BH3" s="368"/>
      <c r="BI3" s="364" t="s">
        <v>22</v>
      </c>
      <c r="BJ3" s="365" t="s">
        <v>58</v>
      </c>
      <c r="BK3" s="366" t="s">
        <v>57</v>
      </c>
      <c r="BL3" s="371" t="s">
        <v>56</v>
      </c>
      <c r="BM3" s="369"/>
      <c r="BN3" s="364" t="s">
        <v>22</v>
      </c>
      <c r="BO3" s="365" t="s">
        <v>58</v>
      </c>
      <c r="BP3" s="366" t="s">
        <v>57</v>
      </c>
      <c r="BQ3" s="371" t="s">
        <v>56</v>
      </c>
      <c r="BR3" s="370"/>
      <c r="BS3" s="364" t="s">
        <v>22</v>
      </c>
      <c r="BT3" s="365" t="s">
        <v>58</v>
      </c>
      <c r="BU3" s="366" t="s">
        <v>57</v>
      </c>
      <c r="BV3" s="371" t="s">
        <v>56</v>
      </c>
      <c r="BX3" s="364" t="s">
        <v>22</v>
      </c>
      <c r="BY3" s="365" t="s">
        <v>58</v>
      </c>
      <c r="BZ3" s="366" t="s">
        <v>57</v>
      </c>
      <c r="CA3" s="367" t="s">
        <v>56</v>
      </c>
      <c r="CB3" s="368"/>
      <c r="CC3" s="364" t="s">
        <v>22</v>
      </c>
      <c r="CD3" s="365" t="s">
        <v>58</v>
      </c>
      <c r="CE3" s="366" t="s">
        <v>57</v>
      </c>
      <c r="CF3" s="367" t="s">
        <v>56</v>
      </c>
      <c r="CG3" s="369"/>
      <c r="CH3" s="364" t="s">
        <v>22</v>
      </c>
      <c r="CI3" s="365" t="s">
        <v>58</v>
      </c>
      <c r="CJ3" s="366" t="s">
        <v>57</v>
      </c>
      <c r="CK3" s="367" t="s">
        <v>56</v>
      </c>
      <c r="CL3" s="370"/>
      <c r="CM3" s="364" t="s">
        <v>22</v>
      </c>
      <c r="CN3" s="365" t="s">
        <v>58</v>
      </c>
      <c r="CO3" s="366" t="s">
        <v>57</v>
      </c>
      <c r="CP3" s="371" t="s">
        <v>56</v>
      </c>
      <c r="CQ3" s="370"/>
      <c r="CR3" s="364" t="s">
        <v>22</v>
      </c>
      <c r="CS3" s="365" t="s">
        <v>58</v>
      </c>
      <c r="CT3" s="366" t="s">
        <v>57</v>
      </c>
      <c r="CU3" s="367" t="s">
        <v>56</v>
      </c>
      <c r="CV3" s="368"/>
      <c r="CW3" s="364" t="s">
        <v>22</v>
      </c>
      <c r="CX3" s="365" t="s">
        <v>58</v>
      </c>
      <c r="CY3" s="366" t="s">
        <v>57</v>
      </c>
      <c r="CZ3" s="371" t="s">
        <v>56</v>
      </c>
      <c r="DA3" s="369"/>
      <c r="DB3" s="364" t="s">
        <v>22</v>
      </c>
      <c r="DC3" s="365" t="s">
        <v>58</v>
      </c>
      <c r="DD3" s="366" t="s">
        <v>57</v>
      </c>
      <c r="DE3" s="371" t="s">
        <v>56</v>
      </c>
      <c r="DF3" s="370"/>
      <c r="DG3" s="364" t="s">
        <v>22</v>
      </c>
      <c r="DH3" s="365" t="s">
        <v>58</v>
      </c>
      <c r="DI3" s="366" t="s">
        <v>57</v>
      </c>
      <c r="DJ3" s="371" t="s">
        <v>56</v>
      </c>
    </row>
    <row r="4" spans="1:114" ht="12.75">
      <c r="A4" s="372">
        <v>0</v>
      </c>
      <c r="B4" s="373"/>
      <c r="C4" s="373"/>
      <c r="D4" s="374"/>
      <c r="E4" s="375">
        <v>0</v>
      </c>
      <c r="F4" s="373"/>
      <c r="G4" s="373"/>
      <c r="H4" s="376"/>
      <c r="I4" s="377">
        <v>0</v>
      </c>
      <c r="J4" s="373"/>
      <c r="K4" s="373"/>
      <c r="L4" s="376"/>
      <c r="M4" s="378">
        <v>0</v>
      </c>
      <c r="N4" s="379"/>
      <c r="O4" s="379"/>
      <c r="P4" s="376"/>
      <c r="R4" s="378">
        <v>0</v>
      </c>
      <c r="S4" s="379"/>
      <c r="T4" s="380"/>
      <c r="U4" s="381"/>
      <c r="V4" s="382">
        <v>0</v>
      </c>
      <c r="W4" s="380"/>
      <c r="X4" s="380"/>
      <c r="Y4" s="381"/>
      <c r="Z4" s="363"/>
      <c r="AA4" s="382">
        <v>0</v>
      </c>
      <c r="AB4" s="380"/>
      <c r="AC4" s="380"/>
      <c r="AD4" s="381"/>
      <c r="AE4" s="382">
        <v>0</v>
      </c>
      <c r="AF4" s="380"/>
      <c r="AG4" s="380"/>
      <c r="AH4" s="381"/>
      <c r="AJ4" s="383">
        <v>0</v>
      </c>
      <c r="AK4" s="379"/>
      <c r="AL4" s="380"/>
      <c r="AM4" s="384"/>
      <c r="AN4" s="368"/>
      <c r="AO4" s="383">
        <v>0</v>
      </c>
      <c r="AP4" s="379"/>
      <c r="AQ4" s="380"/>
      <c r="AR4" s="384"/>
      <c r="AS4" s="363"/>
      <c r="AT4" s="383">
        <v>0</v>
      </c>
      <c r="AU4" s="379"/>
      <c r="AV4" s="380"/>
      <c r="AW4" s="384"/>
      <c r="AX4" s="370"/>
      <c r="AY4" s="378">
        <v>0</v>
      </c>
      <c r="AZ4" s="379"/>
      <c r="BA4" s="380"/>
      <c r="BB4" s="381"/>
      <c r="BD4" s="383">
        <v>0</v>
      </c>
      <c r="BE4" s="379"/>
      <c r="BF4" s="380"/>
      <c r="BG4" s="384"/>
      <c r="BH4" s="368"/>
      <c r="BI4" s="378">
        <v>0</v>
      </c>
      <c r="BJ4" s="379"/>
      <c r="BK4" s="380"/>
      <c r="BL4" s="381"/>
      <c r="BM4" s="363"/>
      <c r="BN4" s="378">
        <v>0</v>
      </c>
      <c r="BO4" s="379"/>
      <c r="BP4" s="380"/>
      <c r="BQ4" s="381"/>
      <c r="BR4" s="370"/>
      <c r="BS4" s="378">
        <v>0</v>
      </c>
      <c r="BT4" s="379"/>
      <c r="BU4" s="380"/>
      <c r="BV4" s="381"/>
      <c r="BX4" s="383">
        <v>0</v>
      </c>
      <c r="BY4" s="379"/>
      <c r="BZ4" s="380"/>
      <c r="CA4" s="384"/>
      <c r="CB4" s="368"/>
      <c r="CC4" s="383">
        <v>0</v>
      </c>
      <c r="CD4" s="379"/>
      <c r="CE4" s="380"/>
      <c r="CF4" s="384"/>
      <c r="CG4" s="363"/>
      <c r="CH4" s="383">
        <v>0</v>
      </c>
      <c r="CI4" s="379"/>
      <c r="CJ4" s="380"/>
      <c r="CK4" s="384"/>
      <c r="CL4" s="370"/>
      <c r="CM4" s="378">
        <v>0</v>
      </c>
      <c r="CN4" s="379"/>
      <c r="CO4" s="380"/>
      <c r="CP4" s="381"/>
      <c r="CQ4" s="370"/>
      <c r="CR4" s="383">
        <v>0</v>
      </c>
      <c r="CS4" s="379"/>
      <c r="CT4" s="380"/>
      <c r="CU4" s="384"/>
      <c r="CV4" s="368"/>
      <c r="CW4" s="378">
        <v>0</v>
      </c>
      <c r="CX4" s="379"/>
      <c r="CY4" s="380"/>
      <c r="CZ4" s="381"/>
      <c r="DA4" s="363"/>
      <c r="DB4" s="378">
        <v>0</v>
      </c>
      <c r="DC4" s="379"/>
      <c r="DD4" s="380"/>
      <c r="DE4" s="381"/>
      <c r="DF4" s="370"/>
      <c r="DG4" s="378">
        <v>0</v>
      </c>
      <c r="DH4" s="379"/>
      <c r="DI4" s="380"/>
      <c r="DJ4" s="381"/>
    </row>
    <row r="5" spans="1:114" ht="12.75">
      <c r="A5" s="769">
        <v>1</v>
      </c>
      <c r="B5" s="380"/>
      <c r="C5" s="770">
        <f>ROUND(B5+B6,3)</f>
        <v>0</v>
      </c>
      <c r="D5" s="771">
        <f>ROUND((D4+C5/14000),4)</f>
        <v>0</v>
      </c>
      <c r="E5" s="772">
        <v>1</v>
      </c>
      <c r="F5" s="380"/>
      <c r="G5" s="770">
        <f>ROUND((42000*(F5+F6)/2),3)</f>
        <v>0</v>
      </c>
      <c r="H5" s="773">
        <f>ROUND((H4+G5/14000),4)</f>
        <v>0</v>
      </c>
      <c r="I5" s="774">
        <v>1</v>
      </c>
      <c r="J5" s="380"/>
      <c r="K5" s="770">
        <f>ROUND((42000*(J5+J6)/2),3)</f>
        <v>0</v>
      </c>
      <c r="L5" s="773">
        <f>ROUND((L4+K5/14000),4)</f>
        <v>0</v>
      </c>
      <c r="M5" s="774">
        <v>1</v>
      </c>
      <c r="N5" s="380"/>
      <c r="O5" s="770">
        <f>ROUND((42000*(N5+N6)/2),3)</f>
        <v>0</v>
      </c>
      <c r="P5" s="773">
        <f>ROUND((P4+O5/14000),4)</f>
        <v>0</v>
      </c>
      <c r="R5" s="774">
        <v>1</v>
      </c>
      <c r="S5" s="380"/>
      <c r="T5" s="770">
        <f>ROUND((42000*(S5+S6)/2),3)</f>
        <v>0</v>
      </c>
      <c r="U5" s="775">
        <f>ROUND((U4+T5/14000),4)</f>
        <v>0</v>
      </c>
      <c r="V5" s="774">
        <v>1</v>
      </c>
      <c r="W5" s="380"/>
      <c r="X5" s="770">
        <f>ROUND((42000*(W5+W6)/2),3)</f>
        <v>0</v>
      </c>
      <c r="Y5" s="775">
        <f>ROUND((Y4+X5/14000),4)</f>
        <v>0</v>
      </c>
      <c r="Z5" s="385"/>
      <c r="AA5" s="774">
        <v>1</v>
      </c>
      <c r="AB5" s="380"/>
      <c r="AC5" s="770">
        <f>ROUND((42000*(AB5+AB6)/2),3)</f>
        <v>0</v>
      </c>
      <c r="AD5" s="775">
        <f>ROUND((AD4+AC5/14000),4)</f>
        <v>0</v>
      </c>
      <c r="AE5" s="774">
        <v>1</v>
      </c>
      <c r="AF5" s="380"/>
      <c r="AG5" s="770">
        <f>ROUND((42000*(AF5+AF6)/2),3)</f>
        <v>0</v>
      </c>
      <c r="AH5" s="775">
        <f>ROUND((AH4+AG5/14000),4)</f>
        <v>0</v>
      </c>
      <c r="AJ5" s="776">
        <v>1</v>
      </c>
      <c r="AK5" s="386"/>
      <c r="AL5" s="770">
        <f>ROUND((9600*(AK5+AK6)/2),3)</f>
        <v>0</v>
      </c>
      <c r="AM5" s="777">
        <f>ROUND((AM4+AL5/9600),4)</f>
        <v>0</v>
      </c>
      <c r="AN5" s="368"/>
      <c r="AO5" s="776">
        <v>1</v>
      </c>
      <c r="AP5" s="380"/>
      <c r="AQ5" s="770">
        <f>ROUND((14000*(AP5+AP6)/2),3)</f>
        <v>0</v>
      </c>
      <c r="AR5" s="777">
        <f>ROUND((AR4+AQ5/9600),4)</f>
        <v>0</v>
      </c>
      <c r="AS5" s="387"/>
      <c r="AT5" s="776">
        <v>1</v>
      </c>
      <c r="AU5" s="386"/>
      <c r="AV5" s="770">
        <f>ROUND((9600*(AU5+AU6)/2),3)</f>
        <v>0</v>
      </c>
      <c r="AW5" s="777">
        <f>ROUND((AW4+AV5/9600),4)</f>
        <v>0</v>
      </c>
      <c r="AX5" s="370"/>
      <c r="AY5" s="774">
        <v>1</v>
      </c>
      <c r="AZ5" s="386"/>
      <c r="BA5" s="770">
        <f>ROUND((9600*(AZ5+AZ6)/2),3)</f>
        <v>0</v>
      </c>
      <c r="BB5" s="775">
        <f>ROUND((BB4+BA5/9600),4)</f>
        <v>0</v>
      </c>
      <c r="BD5" s="776">
        <v>1</v>
      </c>
      <c r="BE5" s="386"/>
      <c r="BF5" s="770">
        <f>ROUND((15*(BE5+BE6)/2),3)</f>
        <v>0</v>
      </c>
      <c r="BG5" s="777">
        <f>ROUND((BG4+BF5/15),4)</f>
        <v>0</v>
      </c>
      <c r="BH5" s="368"/>
      <c r="BI5" s="774">
        <v>1</v>
      </c>
      <c r="BJ5" s="380"/>
      <c r="BK5" s="770">
        <f>ROUND((15*(BJ5+BJ6)/2),3)</f>
        <v>0</v>
      </c>
      <c r="BL5" s="775">
        <f>ROUND((BL4+BK5/15),4)</f>
        <v>0</v>
      </c>
      <c r="BM5" s="387"/>
      <c r="BN5" s="774">
        <v>1</v>
      </c>
      <c r="BO5" s="386"/>
      <c r="BP5" s="770">
        <f>ROUND((15*(BO5+BO6)/2),3)</f>
        <v>0</v>
      </c>
      <c r="BQ5" s="775">
        <f>ROUND((BQ4+BP5/15),4)</f>
        <v>0</v>
      </c>
      <c r="BR5" s="370"/>
      <c r="BS5" s="774">
        <v>1</v>
      </c>
      <c r="BT5" s="380"/>
      <c r="BU5" s="770">
        <f>ROUND((15*(BT5+BT6)/2),3)</f>
        <v>0</v>
      </c>
      <c r="BV5" s="775">
        <f>ROUND((BV4+BU5/15),4)</f>
        <v>0</v>
      </c>
      <c r="BX5" s="776">
        <v>1</v>
      </c>
      <c r="BY5" s="380"/>
      <c r="BZ5" s="770">
        <f>ROUND((9600*(BY5+BY6)/2),3)</f>
        <v>0</v>
      </c>
      <c r="CA5" s="777">
        <f>ROUND((CA4+BZ5/9600),4)</f>
        <v>0</v>
      </c>
      <c r="CB5" s="368"/>
      <c r="CC5" s="776">
        <v>1</v>
      </c>
      <c r="CD5" s="380"/>
      <c r="CE5" s="770">
        <f>ROUND((14000*(CD5+CD6)/2),3)</f>
        <v>0</v>
      </c>
      <c r="CF5" s="777">
        <f>ROUND((CF4+CE5/9600),4)</f>
        <v>0</v>
      </c>
      <c r="CG5" s="387"/>
      <c r="CH5" s="776">
        <v>1</v>
      </c>
      <c r="CI5" s="380"/>
      <c r="CJ5" s="770">
        <f>ROUND((9600*(CI5+CI6)/2),3)</f>
        <v>0</v>
      </c>
      <c r="CK5" s="777">
        <f>ROUND((CK4+CJ5/9600),4)</f>
        <v>0</v>
      </c>
      <c r="CL5" s="370"/>
      <c r="CM5" s="774">
        <v>1</v>
      </c>
      <c r="CN5" s="380"/>
      <c r="CO5" s="770">
        <f>ROUND((9600*(CN5+CN6)/2),3)</f>
        <v>0</v>
      </c>
      <c r="CP5" s="775">
        <f>ROUND((CP4+CO5/9600),4)</f>
        <v>0</v>
      </c>
      <c r="CQ5" s="370"/>
      <c r="CR5" s="776">
        <v>1</v>
      </c>
      <c r="CS5" s="380"/>
      <c r="CT5" s="770">
        <f>ROUND((15*(CS5+CS6)/2),3)</f>
        <v>0</v>
      </c>
      <c r="CU5" s="777">
        <f>ROUND((CU4+CT5/15),4)</f>
        <v>0</v>
      </c>
      <c r="CV5" s="368"/>
      <c r="CW5" s="774">
        <v>1</v>
      </c>
      <c r="CX5" s="380"/>
      <c r="CY5" s="770">
        <f>ROUND((15*(CX5+CX6)/2),3)</f>
        <v>0</v>
      </c>
      <c r="CZ5" s="775">
        <f>ROUND((CZ4+CY5/15),4)</f>
        <v>0</v>
      </c>
      <c r="DA5" s="387"/>
      <c r="DB5" s="774">
        <v>1</v>
      </c>
      <c r="DC5" s="380"/>
      <c r="DD5" s="770">
        <f>ROUND((15*(DC5+DC6)/2),3)</f>
        <v>0</v>
      </c>
      <c r="DE5" s="775">
        <f>ROUND((DE4+DD5/15),4)</f>
        <v>0</v>
      </c>
      <c r="DF5" s="370"/>
      <c r="DG5" s="774">
        <v>1</v>
      </c>
      <c r="DH5" s="380"/>
      <c r="DI5" s="770">
        <f>ROUND((15*(DH5+DH6)/2),3)</f>
        <v>0</v>
      </c>
      <c r="DJ5" s="775">
        <f>ROUND((DJ4+DI5/15),4)</f>
        <v>0</v>
      </c>
    </row>
    <row r="6" spans="1:114" ht="12.75">
      <c r="A6" s="769"/>
      <c r="B6" s="380"/>
      <c r="C6" s="770"/>
      <c r="D6" s="771"/>
      <c r="E6" s="772"/>
      <c r="F6" s="380"/>
      <c r="G6" s="770"/>
      <c r="H6" s="773"/>
      <c r="I6" s="774"/>
      <c r="J6" s="380"/>
      <c r="K6" s="770"/>
      <c r="L6" s="773"/>
      <c r="M6" s="774"/>
      <c r="N6" s="380"/>
      <c r="O6" s="770"/>
      <c r="P6" s="773"/>
      <c r="R6" s="774"/>
      <c r="S6" s="380"/>
      <c r="T6" s="770"/>
      <c r="U6" s="775"/>
      <c r="V6" s="774"/>
      <c r="W6" s="380"/>
      <c r="X6" s="770"/>
      <c r="Y6" s="775"/>
      <c r="Z6" s="385"/>
      <c r="AA6" s="774"/>
      <c r="AB6" s="380"/>
      <c r="AC6" s="770"/>
      <c r="AD6" s="775"/>
      <c r="AE6" s="774"/>
      <c r="AF6" s="380"/>
      <c r="AG6" s="770"/>
      <c r="AH6" s="775"/>
      <c r="AJ6" s="776"/>
      <c r="AK6" s="386"/>
      <c r="AL6" s="770"/>
      <c r="AM6" s="777"/>
      <c r="AN6" s="368"/>
      <c r="AO6" s="776"/>
      <c r="AP6" s="380"/>
      <c r="AQ6" s="770"/>
      <c r="AR6" s="777"/>
      <c r="AS6" s="387"/>
      <c r="AT6" s="776"/>
      <c r="AU6" s="386"/>
      <c r="AV6" s="770"/>
      <c r="AW6" s="777"/>
      <c r="AX6" s="370"/>
      <c r="AY6" s="774"/>
      <c r="AZ6" s="386"/>
      <c r="BA6" s="770"/>
      <c r="BB6" s="775"/>
      <c r="BD6" s="776"/>
      <c r="BE6" s="386"/>
      <c r="BF6" s="770"/>
      <c r="BG6" s="777"/>
      <c r="BH6" s="368"/>
      <c r="BI6" s="774"/>
      <c r="BJ6" s="380"/>
      <c r="BK6" s="770"/>
      <c r="BL6" s="775"/>
      <c r="BM6" s="387"/>
      <c r="BN6" s="774"/>
      <c r="BO6" s="386"/>
      <c r="BP6" s="770"/>
      <c r="BQ6" s="775"/>
      <c r="BR6" s="370"/>
      <c r="BS6" s="774"/>
      <c r="BT6" s="380"/>
      <c r="BU6" s="770"/>
      <c r="BV6" s="775"/>
      <c r="BX6" s="776"/>
      <c r="BY6" s="380"/>
      <c r="BZ6" s="770"/>
      <c r="CA6" s="777"/>
      <c r="CB6" s="368"/>
      <c r="CC6" s="776"/>
      <c r="CD6" s="380"/>
      <c r="CE6" s="770"/>
      <c r="CF6" s="777"/>
      <c r="CG6" s="387"/>
      <c r="CH6" s="776"/>
      <c r="CI6" s="380"/>
      <c r="CJ6" s="770"/>
      <c r="CK6" s="777"/>
      <c r="CL6" s="370"/>
      <c r="CM6" s="774"/>
      <c r="CN6" s="380"/>
      <c r="CO6" s="770"/>
      <c r="CP6" s="775"/>
      <c r="CQ6" s="370"/>
      <c r="CR6" s="776"/>
      <c r="CS6" s="380"/>
      <c r="CT6" s="770"/>
      <c r="CU6" s="777"/>
      <c r="CV6" s="368"/>
      <c r="CW6" s="774"/>
      <c r="CX6" s="380"/>
      <c r="CY6" s="770"/>
      <c r="CZ6" s="775"/>
      <c r="DA6" s="387"/>
      <c r="DB6" s="774"/>
      <c r="DC6" s="380"/>
      <c r="DD6" s="770"/>
      <c r="DE6" s="775"/>
      <c r="DF6" s="370"/>
      <c r="DG6" s="774"/>
      <c r="DH6" s="380"/>
      <c r="DI6" s="770"/>
      <c r="DJ6" s="775"/>
    </row>
    <row r="7" spans="1:114" ht="12.75">
      <c r="A7" s="769">
        <v>2</v>
      </c>
      <c r="B7" s="380"/>
      <c r="C7" s="770">
        <f>ROUND(B7+B8,3)</f>
        <v>0</v>
      </c>
      <c r="D7" s="771">
        <f>ROUND((D5+C7/14000),4)</f>
        <v>0</v>
      </c>
      <c r="E7" s="772">
        <v>2</v>
      </c>
      <c r="F7" s="380"/>
      <c r="G7" s="770">
        <f>ROUND((42000*(F7+F8)/2),3)</f>
        <v>0</v>
      </c>
      <c r="H7" s="773">
        <f>ROUND((H5+G7/14000),4)</f>
        <v>0</v>
      </c>
      <c r="I7" s="774">
        <v>2</v>
      </c>
      <c r="J7" s="380"/>
      <c r="K7" s="770">
        <f>ROUND((42000*(J7+J8)/2),3)</f>
        <v>0</v>
      </c>
      <c r="L7" s="773">
        <f>ROUND((L5+K7/14000),4)</f>
        <v>0</v>
      </c>
      <c r="M7" s="774">
        <v>2</v>
      </c>
      <c r="N7" s="380"/>
      <c r="O7" s="770">
        <f>ROUND((42000*(N7+N8)/2),3)</f>
        <v>0</v>
      </c>
      <c r="P7" s="773">
        <f>ROUND((P5+O7/14000),4)</f>
        <v>0</v>
      </c>
      <c r="R7" s="774">
        <v>2</v>
      </c>
      <c r="S7" s="380"/>
      <c r="T7" s="770">
        <f>ROUND((42000*(S7+S8)/2),3)</f>
        <v>0</v>
      </c>
      <c r="U7" s="775">
        <f>ROUND((U5+T7/14000),4)</f>
        <v>0</v>
      </c>
      <c r="V7" s="774">
        <v>2</v>
      </c>
      <c r="W7" s="380"/>
      <c r="X7" s="770">
        <f>ROUND((42000*(W7+W8)/2),3)</f>
        <v>0</v>
      </c>
      <c r="Y7" s="775">
        <f>ROUND((Y5+X7/14000),4)</f>
        <v>0</v>
      </c>
      <c r="Z7" s="385"/>
      <c r="AA7" s="774">
        <v>2</v>
      </c>
      <c r="AB7" s="380"/>
      <c r="AC7" s="770">
        <f>ROUND((42000*(AB7+AB8)/2),3)</f>
        <v>0</v>
      </c>
      <c r="AD7" s="775">
        <f>ROUND((AD5+AC7/14000),4)</f>
        <v>0</v>
      </c>
      <c r="AE7" s="774">
        <v>2</v>
      </c>
      <c r="AF7" s="380"/>
      <c r="AG7" s="770">
        <f>ROUND((42000*(AF7+AF8)/2),3)</f>
        <v>0</v>
      </c>
      <c r="AH7" s="775">
        <f>ROUND((AH5+AG7/14000),4)</f>
        <v>0</v>
      </c>
      <c r="AJ7" s="776">
        <v>2</v>
      </c>
      <c r="AK7" s="386"/>
      <c r="AL7" s="770">
        <f>ROUND((9600*(AK7+AK8)/2),3)</f>
        <v>0</v>
      </c>
      <c r="AM7" s="777">
        <f>ROUND((AM5+AL7/9600),4)</f>
        <v>0</v>
      </c>
      <c r="AN7" s="368"/>
      <c r="AO7" s="776">
        <v>2</v>
      </c>
      <c r="AP7" s="380"/>
      <c r="AQ7" s="770">
        <f>ROUND((14000*(AP7+AP8)/2),3)</f>
        <v>0</v>
      </c>
      <c r="AR7" s="777">
        <f>ROUND((AR5+AQ7/9600),4)</f>
        <v>0</v>
      </c>
      <c r="AS7" s="387"/>
      <c r="AT7" s="776">
        <v>2</v>
      </c>
      <c r="AU7" s="386"/>
      <c r="AV7" s="770">
        <f>ROUND((9600*(AU7+AU8)/2),3)</f>
        <v>0</v>
      </c>
      <c r="AW7" s="777">
        <f>ROUND((AW5+AV7/9600),4)</f>
        <v>0</v>
      </c>
      <c r="AX7" s="370"/>
      <c r="AY7" s="774">
        <v>2</v>
      </c>
      <c r="AZ7" s="386"/>
      <c r="BA7" s="770">
        <f>ROUND((9600*(AZ7+AZ8)/2),3)</f>
        <v>0</v>
      </c>
      <c r="BB7" s="775">
        <f>ROUND((BB5+BA7/9600),4)</f>
        <v>0</v>
      </c>
      <c r="BD7" s="776">
        <v>2</v>
      </c>
      <c r="BE7" s="386"/>
      <c r="BF7" s="770">
        <f>ROUND((15*(BE7+BE8)/2),3)</f>
        <v>0</v>
      </c>
      <c r="BG7" s="777">
        <f>ROUND((BG5+BF7/15),4)</f>
        <v>0</v>
      </c>
      <c r="BH7" s="368"/>
      <c r="BI7" s="774">
        <v>2</v>
      </c>
      <c r="BJ7" s="380"/>
      <c r="BK7" s="770">
        <f>ROUND((15*(BJ7+BJ8)/2),3)</f>
        <v>0</v>
      </c>
      <c r="BL7" s="775">
        <f>ROUND((BL5+BK7/15),4)</f>
        <v>0</v>
      </c>
      <c r="BM7" s="387"/>
      <c r="BN7" s="774">
        <v>2</v>
      </c>
      <c r="BO7" s="386"/>
      <c r="BP7" s="770">
        <f>ROUND((15*(BO7+BO8)/2),3)</f>
        <v>0</v>
      </c>
      <c r="BQ7" s="775">
        <f>ROUND((BQ5+BP7/15),4)</f>
        <v>0</v>
      </c>
      <c r="BR7" s="370"/>
      <c r="BS7" s="774">
        <v>2</v>
      </c>
      <c r="BT7" s="380"/>
      <c r="BU7" s="770">
        <f>ROUND((15*(BT7+BT8)/2),3)</f>
        <v>0</v>
      </c>
      <c r="BV7" s="775">
        <f>ROUND((BV5+BU7/15),4)</f>
        <v>0</v>
      </c>
      <c r="BX7" s="776">
        <v>2</v>
      </c>
      <c r="BY7" s="380"/>
      <c r="BZ7" s="770">
        <f>ROUND((9600*(BY7+BY8)/2),3)</f>
        <v>0</v>
      </c>
      <c r="CA7" s="777">
        <f>ROUND((CA5+BZ7/9600),4)</f>
        <v>0</v>
      </c>
      <c r="CB7" s="368"/>
      <c r="CC7" s="776">
        <v>2</v>
      </c>
      <c r="CD7" s="380"/>
      <c r="CE7" s="770">
        <f>ROUND((14000*(CD7+CD8)/2),3)</f>
        <v>0</v>
      </c>
      <c r="CF7" s="777">
        <f>ROUND((CF5+CE7/9600),4)</f>
        <v>0</v>
      </c>
      <c r="CG7" s="387"/>
      <c r="CH7" s="776">
        <v>2</v>
      </c>
      <c r="CI7" s="380"/>
      <c r="CJ7" s="770">
        <f>ROUND((9600*(CI7+CI8)/2),3)</f>
        <v>0</v>
      </c>
      <c r="CK7" s="777">
        <f>ROUND((CK5+CJ7/9600),4)</f>
        <v>0</v>
      </c>
      <c r="CL7" s="370"/>
      <c r="CM7" s="774">
        <v>2</v>
      </c>
      <c r="CN7" s="380"/>
      <c r="CO7" s="770">
        <f>ROUND((9600*(CN7+CN8)/2),3)</f>
        <v>0</v>
      </c>
      <c r="CP7" s="775">
        <f>ROUND((CP5+CO7/9600),4)</f>
        <v>0</v>
      </c>
      <c r="CQ7" s="370"/>
      <c r="CR7" s="776">
        <v>2</v>
      </c>
      <c r="CS7" s="380"/>
      <c r="CT7" s="770">
        <f>ROUND((15*(CS7+CS8)/2),3)</f>
        <v>0</v>
      </c>
      <c r="CU7" s="777">
        <f>ROUND((CU5+CT7/15),4)</f>
        <v>0</v>
      </c>
      <c r="CV7" s="368"/>
      <c r="CW7" s="774">
        <v>2</v>
      </c>
      <c r="CX7" s="380"/>
      <c r="CY7" s="770">
        <f>ROUND((15*(CX7+CX8)/2),3)</f>
        <v>0</v>
      </c>
      <c r="CZ7" s="775">
        <f>ROUND((CZ5+CY7/15),4)</f>
        <v>0</v>
      </c>
      <c r="DA7" s="387"/>
      <c r="DB7" s="774">
        <v>2</v>
      </c>
      <c r="DC7" s="380"/>
      <c r="DD7" s="770">
        <f>ROUND((15*(DC7+DC8)/2),3)</f>
        <v>0</v>
      </c>
      <c r="DE7" s="775">
        <f>ROUND((DE5+DD7/15),4)</f>
        <v>0</v>
      </c>
      <c r="DF7" s="370"/>
      <c r="DG7" s="774">
        <v>2</v>
      </c>
      <c r="DH7" s="380"/>
      <c r="DI7" s="770">
        <f>ROUND((15*(DH7+DH8)/2),3)</f>
        <v>0</v>
      </c>
      <c r="DJ7" s="775">
        <f>ROUND((DJ5+DI7/15),4)</f>
        <v>0</v>
      </c>
    </row>
    <row r="8" spans="1:114" ht="12.75">
      <c r="A8" s="769"/>
      <c r="B8" s="380"/>
      <c r="C8" s="770"/>
      <c r="D8" s="771"/>
      <c r="E8" s="772"/>
      <c r="F8" s="380"/>
      <c r="G8" s="770"/>
      <c r="H8" s="773"/>
      <c r="I8" s="774"/>
      <c r="J8" s="380"/>
      <c r="K8" s="770"/>
      <c r="L8" s="773"/>
      <c r="M8" s="774"/>
      <c r="N8" s="380"/>
      <c r="O8" s="770"/>
      <c r="P8" s="773"/>
      <c r="R8" s="774"/>
      <c r="S8" s="380"/>
      <c r="T8" s="770"/>
      <c r="U8" s="775"/>
      <c r="V8" s="774"/>
      <c r="W8" s="380"/>
      <c r="X8" s="770"/>
      <c r="Y8" s="775"/>
      <c r="Z8" s="385"/>
      <c r="AA8" s="774"/>
      <c r="AB8" s="380"/>
      <c r="AC8" s="770"/>
      <c r="AD8" s="775"/>
      <c r="AE8" s="774"/>
      <c r="AF8" s="380"/>
      <c r="AG8" s="770"/>
      <c r="AH8" s="775"/>
      <c r="AJ8" s="776"/>
      <c r="AK8" s="386"/>
      <c r="AL8" s="770"/>
      <c r="AM8" s="777"/>
      <c r="AN8" s="368"/>
      <c r="AO8" s="776"/>
      <c r="AP8" s="380"/>
      <c r="AQ8" s="770"/>
      <c r="AR8" s="777"/>
      <c r="AS8" s="387"/>
      <c r="AT8" s="776"/>
      <c r="AU8" s="386"/>
      <c r="AV8" s="770"/>
      <c r="AW8" s="777"/>
      <c r="AX8" s="370"/>
      <c r="AY8" s="774"/>
      <c r="AZ8" s="386"/>
      <c r="BA8" s="770"/>
      <c r="BB8" s="775"/>
      <c r="BD8" s="776"/>
      <c r="BE8" s="386"/>
      <c r="BF8" s="770"/>
      <c r="BG8" s="777"/>
      <c r="BH8" s="368"/>
      <c r="BI8" s="774"/>
      <c r="BJ8" s="380"/>
      <c r="BK8" s="770"/>
      <c r="BL8" s="775"/>
      <c r="BM8" s="387"/>
      <c r="BN8" s="774"/>
      <c r="BO8" s="386"/>
      <c r="BP8" s="770"/>
      <c r="BQ8" s="775"/>
      <c r="BR8" s="370"/>
      <c r="BS8" s="774"/>
      <c r="BT8" s="380"/>
      <c r="BU8" s="770"/>
      <c r="BV8" s="775"/>
      <c r="BX8" s="776"/>
      <c r="BY8" s="380"/>
      <c r="BZ8" s="770"/>
      <c r="CA8" s="777"/>
      <c r="CB8" s="368"/>
      <c r="CC8" s="776"/>
      <c r="CD8" s="380"/>
      <c r="CE8" s="770"/>
      <c r="CF8" s="777"/>
      <c r="CG8" s="387"/>
      <c r="CH8" s="776"/>
      <c r="CI8" s="380"/>
      <c r="CJ8" s="770"/>
      <c r="CK8" s="777"/>
      <c r="CL8" s="370"/>
      <c r="CM8" s="774"/>
      <c r="CN8" s="380"/>
      <c r="CO8" s="770"/>
      <c r="CP8" s="775"/>
      <c r="CQ8" s="370"/>
      <c r="CR8" s="776"/>
      <c r="CS8" s="380"/>
      <c r="CT8" s="770"/>
      <c r="CU8" s="777"/>
      <c r="CV8" s="368"/>
      <c r="CW8" s="774"/>
      <c r="CX8" s="380"/>
      <c r="CY8" s="770"/>
      <c r="CZ8" s="775"/>
      <c r="DA8" s="387"/>
      <c r="DB8" s="774"/>
      <c r="DC8" s="380"/>
      <c r="DD8" s="770"/>
      <c r="DE8" s="775"/>
      <c r="DF8" s="370"/>
      <c r="DG8" s="774"/>
      <c r="DH8" s="380"/>
      <c r="DI8" s="770"/>
      <c r="DJ8" s="775"/>
    </row>
    <row r="9" spans="1:114" ht="12.75">
      <c r="A9" s="769">
        <v>3</v>
      </c>
      <c r="B9" s="380">
        <v>739.2</v>
      </c>
      <c r="C9" s="770">
        <f>ROUND(B9+B10,3)</f>
        <v>1453.2</v>
      </c>
      <c r="D9" s="771">
        <f>ROUND((D7+C9/14000),4)</f>
        <v>0.1038</v>
      </c>
      <c r="E9" s="772">
        <v>3</v>
      </c>
      <c r="F9" s="380">
        <v>0</v>
      </c>
      <c r="G9" s="770">
        <f>ROUND((42000*(F9+F10)/2),3)</f>
        <v>0</v>
      </c>
      <c r="H9" s="773">
        <f>ROUND((H7+G9/14000),4)</f>
        <v>0</v>
      </c>
      <c r="I9" s="774">
        <v>3</v>
      </c>
      <c r="J9" s="380">
        <v>189</v>
      </c>
      <c r="K9" s="770">
        <f>ROUND((J9+J10),3)</f>
        <v>373.8</v>
      </c>
      <c r="L9" s="773">
        <f>ROUND((L7+K9/14000),4)</f>
        <v>0.0267</v>
      </c>
      <c r="M9" s="774">
        <v>3</v>
      </c>
      <c r="N9" s="380">
        <v>0</v>
      </c>
      <c r="O9" s="770">
        <f>ROUND((42000*(N9+N10)/2),3)</f>
        <v>0</v>
      </c>
      <c r="P9" s="773">
        <f>ROUND((P7+O9/14000),4)</f>
        <v>0</v>
      </c>
      <c r="R9" s="774">
        <v>3</v>
      </c>
      <c r="S9" s="614">
        <v>499.8</v>
      </c>
      <c r="T9" s="770">
        <f>ROUND((S9+S10),3)</f>
        <v>978.6</v>
      </c>
      <c r="U9" s="775">
        <f>ROUND((U7+T9/14000),4)</f>
        <v>0.0699</v>
      </c>
      <c r="V9" s="774">
        <v>3</v>
      </c>
      <c r="W9" s="380">
        <v>0</v>
      </c>
      <c r="X9" s="770">
        <f>ROUND((42000*(W9+W10)/2),3)</f>
        <v>0</v>
      </c>
      <c r="Y9" s="775">
        <f>ROUND((Y7+X9/14000),4)</f>
        <v>0</v>
      </c>
      <c r="Z9" s="385"/>
      <c r="AA9" s="774">
        <v>3</v>
      </c>
      <c r="AB9" s="614">
        <v>4.2</v>
      </c>
      <c r="AC9" s="770">
        <f>ROUND((AB9+AB10),3)</f>
        <v>4.2</v>
      </c>
      <c r="AD9" s="775">
        <f>ROUND((AD7+AC9/14000),4)</f>
        <v>0.0003</v>
      </c>
      <c r="AE9" s="774">
        <v>3</v>
      </c>
      <c r="AF9" s="614">
        <v>121.8</v>
      </c>
      <c r="AG9" s="770">
        <f>ROUND((AF9+AF10),3)</f>
        <v>256.2</v>
      </c>
      <c r="AH9" s="775">
        <f>ROUND((AH7+AG9/14000),4)</f>
        <v>0.0183</v>
      </c>
      <c r="AJ9" s="776">
        <v>3</v>
      </c>
      <c r="AK9" s="386">
        <v>0.023</v>
      </c>
      <c r="AL9" s="770">
        <f>ROUND((9600*(AK9+AK10)/2),3)</f>
        <v>212.16</v>
      </c>
      <c r="AM9" s="777">
        <f>ROUND((AM7+AL9/9600),4)</f>
        <v>0.0221</v>
      </c>
      <c r="AN9" s="368"/>
      <c r="AO9" s="776">
        <v>3</v>
      </c>
      <c r="AP9" s="380">
        <v>0</v>
      </c>
      <c r="AQ9" s="770">
        <f>ROUND((14000*(AP9+AP10)/2),3)</f>
        <v>0</v>
      </c>
      <c r="AR9" s="777">
        <f>ROUND((AR7+AQ9/9600),4)</f>
        <v>0</v>
      </c>
      <c r="AS9" s="387"/>
      <c r="AT9" s="776">
        <v>3</v>
      </c>
      <c r="AU9" s="386">
        <v>0.0002</v>
      </c>
      <c r="AV9" s="770">
        <f>ROUND((9600*(AU9+AU10)/2),3)</f>
        <v>3.84</v>
      </c>
      <c r="AW9" s="777">
        <f>ROUND((AW7+AV9/9600),4)</f>
        <v>0.0004</v>
      </c>
      <c r="AX9" s="370"/>
      <c r="AY9" s="774">
        <v>3</v>
      </c>
      <c r="AZ9" s="380">
        <v>0.0034</v>
      </c>
      <c r="BA9" s="770">
        <f>ROUND((9600*(AZ9+AZ10)/2),3)</f>
        <v>32.64</v>
      </c>
      <c r="BB9" s="775">
        <f>ROUND((BB7+BA9/9600),4)</f>
        <v>0.0034</v>
      </c>
      <c r="BD9" s="776">
        <v>3</v>
      </c>
      <c r="BE9" s="386">
        <v>0</v>
      </c>
      <c r="BF9" s="770">
        <f>ROUND((15*(BE9+BE10)/2),3)</f>
        <v>0.006</v>
      </c>
      <c r="BG9" s="777">
        <f>ROUND((BG7+BF9/15),4)</f>
        <v>0.0004</v>
      </c>
      <c r="BH9" s="368"/>
      <c r="BI9" s="774">
        <v>3</v>
      </c>
      <c r="BJ9" s="380">
        <v>0</v>
      </c>
      <c r="BK9" s="770">
        <f>ROUND((15*(BJ9+BJ10)/2),3)</f>
        <v>0</v>
      </c>
      <c r="BL9" s="775">
        <f>ROUND((BL7+BK9/15),4)</f>
        <v>0</v>
      </c>
      <c r="BM9" s="387"/>
      <c r="BN9" s="774">
        <v>3</v>
      </c>
      <c r="BO9" s="386">
        <v>0.0016</v>
      </c>
      <c r="BP9" s="770">
        <f>ROUND((15*(BO9+BO10)/2),3)</f>
        <v>0.024</v>
      </c>
      <c r="BQ9" s="775">
        <f>ROUND((BQ7+BP9/15),4)</f>
        <v>0.0016</v>
      </c>
      <c r="BR9" s="370"/>
      <c r="BS9" s="774">
        <v>3</v>
      </c>
      <c r="BT9" s="380">
        <v>0</v>
      </c>
      <c r="BU9" s="770">
        <f>ROUND((15*(BT9+BT10)/2),3)</f>
        <v>0</v>
      </c>
      <c r="BV9" s="775">
        <f>ROUND((BV7+BU9/15),4)</f>
        <v>0</v>
      </c>
      <c r="BX9" s="776">
        <v>3</v>
      </c>
      <c r="BY9" s="386">
        <v>0.038</v>
      </c>
      <c r="BZ9" s="770">
        <f>ROUND((9600*(BY9+BY10)/2),3)</f>
        <v>356.16</v>
      </c>
      <c r="CA9" s="777">
        <f>ROUND((CA7+BZ9/9600),4)</f>
        <v>0.0371</v>
      </c>
      <c r="CB9" s="368"/>
      <c r="CC9" s="776">
        <v>3</v>
      </c>
      <c r="CD9" s="380">
        <v>0</v>
      </c>
      <c r="CE9" s="770">
        <f>ROUND((14000*(CD9+CD10)/2),3)</f>
        <v>0</v>
      </c>
      <c r="CF9" s="777">
        <f>ROUND((CF7+CE9/9600),4)</f>
        <v>0</v>
      </c>
      <c r="CG9" s="387"/>
      <c r="CH9" s="776">
        <v>3</v>
      </c>
      <c r="CI9" s="386">
        <v>0.0116</v>
      </c>
      <c r="CJ9" s="770">
        <f>ROUND((9600*(CI9+CI10)/2),3)</f>
        <v>111.36</v>
      </c>
      <c r="CK9" s="777">
        <f>ROUND((CK7+CJ9/9600),4)</f>
        <v>0.0116</v>
      </c>
      <c r="CL9" s="370"/>
      <c r="CM9" s="774">
        <v>3</v>
      </c>
      <c r="CN9" s="380">
        <v>0</v>
      </c>
      <c r="CO9" s="770">
        <f>ROUND((9600*(CN9+CN10)/2),3)</f>
        <v>0</v>
      </c>
      <c r="CP9" s="775">
        <f>ROUND((CP7+CO9/9600),4)</f>
        <v>0</v>
      </c>
      <c r="CQ9" s="370"/>
      <c r="CR9" s="776">
        <v>3</v>
      </c>
      <c r="CS9" s="380">
        <v>0.0064</v>
      </c>
      <c r="CT9" s="770">
        <f>ROUND((15*(CS9+CS10)/2),3)</f>
        <v>0.102</v>
      </c>
      <c r="CU9" s="777">
        <f>ROUND((CU7+CT9/15),4)</f>
        <v>0.0068</v>
      </c>
      <c r="CV9" s="368"/>
      <c r="CW9" s="774">
        <v>3</v>
      </c>
      <c r="CX9" s="380">
        <v>0</v>
      </c>
      <c r="CY9" s="770">
        <f>ROUND((15*(CX9+CX10)/2),3)</f>
        <v>0</v>
      </c>
      <c r="CZ9" s="775">
        <f>ROUND((CZ7+CY9/15),4)</f>
        <v>0</v>
      </c>
      <c r="DA9" s="387"/>
      <c r="DB9" s="774">
        <v>3</v>
      </c>
      <c r="DC9" s="380">
        <v>0.0056</v>
      </c>
      <c r="DD9" s="770">
        <f>ROUND((15*(DC9+DC10)/2),3)</f>
        <v>0.09</v>
      </c>
      <c r="DE9" s="775">
        <f>ROUND((DE7+DD9/15),4)</f>
        <v>0.006</v>
      </c>
      <c r="DF9" s="370"/>
      <c r="DG9" s="774">
        <v>3</v>
      </c>
      <c r="DH9" s="380">
        <v>0</v>
      </c>
      <c r="DI9" s="770">
        <f>ROUND((15*(DH9+DH10)/2),3)</f>
        <v>0</v>
      </c>
      <c r="DJ9" s="775">
        <f>ROUND((DJ7+DI9/15),4)</f>
        <v>0</v>
      </c>
    </row>
    <row r="10" spans="1:114" ht="12.75">
      <c r="A10" s="769"/>
      <c r="B10" s="380">
        <v>714</v>
      </c>
      <c r="C10" s="770"/>
      <c r="D10" s="771"/>
      <c r="E10" s="772"/>
      <c r="F10" s="380">
        <v>0</v>
      </c>
      <c r="G10" s="770"/>
      <c r="H10" s="773"/>
      <c r="I10" s="774"/>
      <c r="J10" s="380">
        <v>184.8</v>
      </c>
      <c r="K10" s="770"/>
      <c r="L10" s="773"/>
      <c r="M10" s="774"/>
      <c r="N10" s="380">
        <v>0</v>
      </c>
      <c r="O10" s="770"/>
      <c r="P10" s="773"/>
      <c r="R10" s="774"/>
      <c r="S10" s="614">
        <v>478.8</v>
      </c>
      <c r="T10" s="770"/>
      <c r="U10" s="775"/>
      <c r="V10" s="774"/>
      <c r="W10" s="380">
        <v>0</v>
      </c>
      <c r="X10" s="770"/>
      <c r="Y10" s="775"/>
      <c r="Z10" s="385"/>
      <c r="AA10" s="774"/>
      <c r="AB10" s="614">
        <v>0</v>
      </c>
      <c r="AC10" s="770"/>
      <c r="AD10" s="775"/>
      <c r="AE10" s="774"/>
      <c r="AF10" s="614">
        <v>134.4</v>
      </c>
      <c r="AG10" s="770"/>
      <c r="AH10" s="775"/>
      <c r="AJ10" s="776"/>
      <c r="AK10" s="386">
        <v>0.0212</v>
      </c>
      <c r="AL10" s="770"/>
      <c r="AM10" s="777"/>
      <c r="AN10" s="368"/>
      <c r="AO10" s="776"/>
      <c r="AP10" s="380">
        <v>0</v>
      </c>
      <c r="AQ10" s="770"/>
      <c r="AR10" s="777"/>
      <c r="AS10" s="387"/>
      <c r="AT10" s="776"/>
      <c r="AU10" s="386">
        <v>0.0006</v>
      </c>
      <c r="AV10" s="770"/>
      <c r="AW10" s="777"/>
      <c r="AX10" s="370"/>
      <c r="AY10" s="774"/>
      <c r="AZ10" s="380">
        <v>0.0034</v>
      </c>
      <c r="BA10" s="770"/>
      <c r="BB10" s="775"/>
      <c r="BD10" s="776"/>
      <c r="BE10" s="386">
        <v>0.0008</v>
      </c>
      <c r="BF10" s="770"/>
      <c r="BG10" s="777"/>
      <c r="BH10" s="368"/>
      <c r="BI10" s="774"/>
      <c r="BJ10" s="380">
        <v>0</v>
      </c>
      <c r="BK10" s="770"/>
      <c r="BL10" s="775"/>
      <c r="BM10" s="387"/>
      <c r="BN10" s="774"/>
      <c r="BO10" s="386">
        <v>0.0016</v>
      </c>
      <c r="BP10" s="770"/>
      <c r="BQ10" s="775"/>
      <c r="BR10" s="370"/>
      <c r="BS10" s="774"/>
      <c r="BT10" s="380">
        <v>0</v>
      </c>
      <c r="BU10" s="770"/>
      <c r="BV10" s="775"/>
      <c r="BX10" s="776"/>
      <c r="BY10" s="386">
        <v>0.0362</v>
      </c>
      <c r="BZ10" s="770"/>
      <c r="CA10" s="777"/>
      <c r="CB10" s="368"/>
      <c r="CC10" s="776"/>
      <c r="CD10" s="380">
        <v>0</v>
      </c>
      <c r="CE10" s="770"/>
      <c r="CF10" s="777"/>
      <c r="CG10" s="387"/>
      <c r="CH10" s="776"/>
      <c r="CI10" s="386">
        <v>0.0116</v>
      </c>
      <c r="CJ10" s="770"/>
      <c r="CK10" s="777"/>
      <c r="CL10" s="370"/>
      <c r="CM10" s="774"/>
      <c r="CN10" s="380">
        <v>0</v>
      </c>
      <c r="CO10" s="770"/>
      <c r="CP10" s="775"/>
      <c r="CQ10" s="370"/>
      <c r="CR10" s="776"/>
      <c r="CS10" s="380">
        <v>0.0072</v>
      </c>
      <c r="CT10" s="770"/>
      <c r="CU10" s="777"/>
      <c r="CV10" s="368"/>
      <c r="CW10" s="774"/>
      <c r="CX10" s="380">
        <v>0</v>
      </c>
      <c r="CY10" s="770"/>
      <c r="CZ10" s="775"/>
      <c r="DA10" s="387"/>
      <c r="DB10" s="774"/>
      <c r="DC10" s="380">
        <v>0.0064</v>
      </c>
      <c r="DD10" s="770"/>
      <c r="DE10" s="775"/>
      <c r="DF10" s="370"/>
      <c r="DG10" s="774"/>
      <c r="DH10" s="380">
        <v>0</v>
      </c>
      <c r="DI10" s="770"/>
      <c r="DJ10" s="775"/>
    </row>
    <row r="11" spans="1:114" ht="12.75">
      <c r="A11" s="769">
        <v>4</v>
      </c>
      <c r="B11" s="380">
        <v>714</v>
      </c>
      <c r="C11" s="770">
        <f>ROUND(B11+B12,3)</f>
        <v>1436.4</v>
      </c>
      <c r="D11" s="771">
        <f>ROUND((D9+C11/14000),4)</f>
        <v>0.2064</v>
      </c>
      <c r="E11" s="772">
        <v>4</v>
      </c>
      <c r="F11" s="380">
        <v>0</v>
      </c>
      <c r="G11" s="770">
        <f>ROUND((42000*(F11+F12)/2),3)</f>
        <v>0</v>
      </c>
      <c r="H11" s="773">
        <f>ROUND((H9+G11/14000),4)</f>
        <v>0</v>
      </c>
      <c r="I11" s="774">
        <v>4</v>
      </c>
      <c r="J11" s="380">
        <v>184.8</v>
      </c>
      <c r="K11" s="770">
        <f>ROUND((J11+J12),3)</f>
        <v>373.8</v>
      </c>
      <c r="L11" s="773">
        <f>ROUND((L9+K11/14000),4)</f>
        <v>0.0534</v>
      </c>
      <c r="M11" s="774">
        <v>4</v>
      </c>
      <c r="N11" s="380">
        <v>0</v>
      </c>
      <c r="O11" s="770">
        <f>ROUND((42000*(N11+N12)/2),3)</f>
        <v>0</v>
      </c>
      <c r="P11" s="773">
        <f>ROUND((P9+O11/14000),4)</f>
        <v>0</v>
      </c>
      <c r="R11" s="774">
        <v>4</v>
      </c>
      <c r="S11" s="614">
        <v>474.6</v>
      </c>
      <c r="T11" s="770">
        <f>ROUND((S11+S12),3)</f>
        <v>949.2</v>
      </c>
      <c r="U11" s="775">
        <f>ROUND((U9+T11/14000),4)</f>
        <v>0.1377</v>
      </c>
      <c r="V11" s="774">
        <v>4</v>
      </c>
      <c r="W11" s="380">
        <v>0</v>
      </c>
      <c r="X11" s="770">
        <f>ROUND((42000*(W11+W12)/2),3)</f>
        <v>0</v>
      </c>
      <c r="Y11" s="775">
        <f>ROUND((Y9+X11/14000),4)</f>
        <v>0</v>
      </c>
      <c r="Z11" s="385"/>
      <c r="AA11" s="774">
        <v>4</v>
      </c>
      <c r="AB11" s="614">
        <v>0</v>
      </c>
      <c r="AC11" s="770">
        <f>ROUND((AB11+AB12),3)</f>
        <v>0</v>
      </c>
      <c r="AD11" s="775">
        <f>ROUND((AD9+AC11/14000),4)</f>
        <v>0.0003</v>
      </c>
      <c r="AE11" s="774">
        <v>4</v>
      </c>
      <c r="AF11" s="614">
        <v>121.8</v>
      </c>
      <c r="AG11" s="770">
        <f>ROUND((AF11+AF12),3)</f>
        <v>252</v>
      </c>
      <c r="AH11" s="775">
        <f>ROUND((AH9+AG11/14000),4)</f>
        <v>0.0363</v>
      </c>
      <c r="AJ11" s="776">
        <v>4</v>
      </c>
      <c r="AK11" s="386">
        <v>0.0236</v>
      </c>
      <c r="AL11" s="770">
        <f>ROUND((9600*(AK11+AK12)/2),3)</f>
        <v>206.4</v>
      </c>
      <c r="AM11" s="777">
        <f>ROUND((AM9+AL11/9600),4)</f>
        <v>0.0436</v>
      </c>
      <c r="AN11" s="368"/>
      <c r="AO11" s="776">
        <v>4</v>
      </c>
      <c r="AP11" s="380">
        <v>0</v>
      </c>
      <c r="AQ11" s="770">
        <f>ROUND((14000*(AP11+AP12)/2),3)</f>
        <v>0</v>
      </c>
      <c r="AR11" s="777">
        <f>ROUND((AR9+AQ11/9600),4)</f>
        <v>0</v>
      </c>
      <c r="AS11" s="387"/>
      <c r="AT11" s="776">
        <v>4</v>
      </c>
      <c r="AU11" s="386">
        <v>0.0008</v>
      </c>
      <c r="AV11" s="770">
        <f>ROUND((9600*(AU11+AU12)/2),3)</f>
        <v>7.68</v>
      </c>
      <c r="AW11" s="777">
        <f>ROUND((AW9+AV11/9600),4)</f>
        <v>0.0012</v>
      </c>
      <c r="AX11" s="370"/>
      <c r="AY11" s="774">
        <v>4</v>
      </c>
      <c r="AZ11" s="380">
        <v>0.0028</v>
      </c>
      <c r="BA11" s="770">
        <f>ROUND((9600*(AZ11+AZ12)/2),3)</f>
        <v>24.96</v>
      </c>
      <c r="BB11" s="775">
        <f>ROUND((BB9+BA11/9600),4)</f>
        <v>0.006</v>
      </c>
      <c r="BD11" s="776">
        <v>4</v>
      </c>
      <c r="BE11" s="386">
        <v>0.0008</v>
      </c>
      <c r="BF11" s="770">
        <f>ROUND((15*(BE11+BE12)/2),3)</f>
        <v>0.012</v>
      </c>
      <c r="BG11" s="777">
        <f>ROUND((BG9+BF11/15),4)</f>
        <v>0.0012</v>
      </c>
      <c r="BH11" s="368"/>
      <c r="BI11" s="774">
        <v>4</v>
      </c>
      <c r="BJ11" s="380">
        <v>0</v>
      </c>
      <c r="BK11" s="770">
        <f>ROUND((15*(BJ11+BJ12)/2),3)</f>
        <v>0</v>
      </c>
      <c r="BL11" s="775">
        <f>ROUND((BL9+BK11/15),4)</f>
        <v>0</v>
      </c>
      <c r="BM11" s="387"/>
      <c r="BN11" s="774">
        <v>4</v>
      </c>
      <c r="BO11" s="386">
        <v>0.0016</v>
      </c>
      <c r="BP11" s="770">
        <f>ROUND((15*(BO11+BO12)/2),3)</f>
        <v>0.03</v>
      </c>
      <c r="BQ11" s="775">
        <f>ROUND((BQ9+BP11/15),4)</f>
        <v>0.0036</v>
      </c>
      <c r="BR11" s="370"/>
      <c r="BS11" s="774">
        <v>4</v>
      </c>
      <c r="BT11" s="380">
        <v>0</v>
      </c>
      <c r="BU11" s="770">
        <f>ROUND((15*(BT11+BT12)/2),3)</f>
        <v>0</v>
      </c>
      <c r="BV11" s="775">
        <f>ROUND((BV9+BU11/15),4)</f>
        <v>0</v>
      </c>
      <c r="BX11" s="776">
        <v>4</v>
      </c>
      <c r="BY11" s="386">
        <v>0.0364</v>
      </c>
      <c r="BZ11" s="770">
        <f>ROUND((9600*(BY11+BY12)/2),3)</f>
        <v>355.2</v>
      </c>
      <c r="CA11" s="777">
        <f>ROUND((CA9+BZ11/9600),4)</f>
        <v>0.0741</v>
      </c>
      <c r="CB11" s="368"/>
      <c r="CC11" s="776">
        <v>4</v>
      </c>
      <c r="CD11" s="380">
        <v>0</v>
      </c>
      <c r="CE11" s="770">
        <f>ROUND((14000*(CD11+CD12)/2),3)</f>
        <v>0</v>
      </c>
      <c r="CF11" s="777">
        <f>ROUND((CF9+CE11/9600),4)</f>
        <v>0</v>
      </c>
      <c r="CG11" s="387"/>
      <c r="CH11" s="776">
        <v>4</v>
      </c>
      <c r="CI11" s="386">
        <v>0.0118</v>
      </c>
      <c r="CJ11" s="770">
        <f>ROUND((9600*(CI11+CI12)/2),3)</f>
        <v>113.28</v>
      </c>
      <c r="CK11" s="777">
        <f>ROUND((CK9+CJ11/9600),4)</f>
        <v>0.0234</v>
      </c>
      <c r="CL11" s="370"/>
      <c r="CM11" s="774">
        <v>4</v>
      </c>
      <c r="CN11" s="380">
        <v>0</v>
      </c>
      <c r="CO11" s="770">
        <f>ROUND((9600*(CN11+CN12)/2),3)</f>
        <v>0</v>
      </c>
      <c r="CP11" s="775">
        <f>ROUND((CP9+CO11/9600),4)</f>
        <v>0</v>
      </c>
      <c r="CQ11" s="370"/>
      <c r="CR11" s="776">
        <v>4</v>
      </c>
      <c r="CS11" s="380">
        <v>0.0064</v>
      </c>
      <c r="CT11" s="770">
        <f>ROUND((15*(CS11+CS12)/2),3)</f>
        <v>0.096</v>
      </c>
      <c r="CU11" s="777">
        <f>ROUND((CU9+CT11/15),4)</f>
        <v>0.0132</v>
      </c>
      <c r="CV11" s="368"/>
      <c r="CW11" s="774">
        <v>4</v>
      </c>
      <c r="CX11" s="380">
        <v>0</v>
      </c>
      <c r="CY11" s="770">
        <f>ROUND((15*(CX11+CX12)/2),3)</f>
        <v>0</v>
      </c>
      <c r="CZ11" s="775">
        <f>ROUND((CZ9+CY11/15),4)</f>
        <v>0</v>
      </c>
      <c r="DA11" s="387"/>
      <c r="DB11" s="774">
        <v>4</v>
      </c>
      <c r="DC11" s="380">
        <v>0.0056</v>
      </c>
      <c r="DD11" s="770">
        <f>ROUND((15*(DC11+DC12)/2),3)</f>
        <v>0.084</v>
      </c>
      <c r="DE11" s="775">
        <f>ROUND((DE9+DD11/15),4)</f>
        <v>0.0116</v>
      </c>
      <c r="DF11" s="370"/>
      <c r="DG11" s="774">
        <v>4</v>
      </c>
      <c r="DH11" s="380">
        <v>0</v>
      </c>
      <c r="DI11" s="770">
        <f>ROUND((15*(DH11+DH12)/2),3)</f>
        <v>0</v>
      </c>
      <c r="DJ11" s="775">
        <f>ROUND((DJ9+DI11/15),4)</f>
        <v>0</v>
      </c>
    </row>
    <row r="12" spans="1:114" ht="12.75">
      <c r="A12" s="769"/>
      <c r="B12" s="380">
        <v>722.4</v>
      </c>
      <c r="C12" s="770"/>
      <c r="D12" s="771"/>
      <c r="E12" s="772"/>
      <c r="F12" s="380">
        <v>0</v>
      </c>
      <c r="G12" s="770"/>
      <c r="H12" s="773"/>
      <c r="I12" s="774"/>
      <c r="J12" s="380">
        <v>189</v>
      </c>
      <c r="K12" s="770"/>
      <c r="L12" s="773"/>
      <c r="M12" s="774"/>
      <c r="N12" s="380">
        <v>0</v>
      </c>
      <c r="O12" s="770"/>
      <c r="P12" s="773"/>
      <c r="R12" s="774"/>
      <c r="S12" s="614">
        <v>474.6</v>
      </c>
      <c r="T12" s="770"/>
      <c r="U12" s="775"/>
      <c r="V12" s="774"/>
      <c r="W12" s="380">
        <v>0</v>
      </c>
      <c r="X12" s="770"/>
      <c r="Y12" s="775"/>
      <c r="Z12" s="385"/>
      <c r="AA12" s="774"/>
      <c r="AB12" s="614">
        <v>0</v>
      </c>
      <c r="AC12" s="770"/>
      <c r="AD12" s="775"/>
      <c r="AE12" s="774"/>
      <c r="AF12" s="614">
        <v>130.2</v>
      </c>
      <c r="AG12" s="770"/>
      <c r="AH12" s="775"/>
      <c r="AJ12" s="776"/>
      <c r="AK12" s="386">
        <v>0.0194</v>
      </c>
      <c r="AL12" s="770"/>
      <c r="AM12" s="777"/>
      <c r="AN12" s="368"/>
      <c r="AO12" s="776"/>
      <c r="AP12" s="380">
        <v>0</v>
      </c>
      <c r="AQ12" s="770"/>
      <c r="AR12" s="777"/>
      <c r="AS12" s="387"/>
      <c r="AT12" s="776"/>
      <c r="AU12" s="386">
        <v>0.0008</v>
      </c>
      <c r="AV12" s="770"/>
      <c r="AW12" s="777"/>
      <c r="AX12" s="370"/>
      <c r="AY12" s="774"/>
      <c r="AZ12" s="380">
        <v>0.0024</v>
      </c>
      <c r="BA12" s="770"/>
      <c r="BB12" s="775"/>
      <c r="BD12" s="776"/>
      <c r="BE12" s="386">
        <v>0.0008</v>
      </c>
      <c r="BF12" s="770"/>
      <c r="BG12" s="777"/>
      <c r="BH12" s="368"/>
      <c r="BI12" s="774"/>
      <c r="BJ12" s="380">
        <v>0</v>
      </c>
      <c r="BK12" s="770"/>
      <c r="BL12" s="775"/>
      <c r="BM12" s="387"/>
      <c r="BN12" s="774"/>
      <c r="BO12" s="386">
        <v>0.0024</v>
      </c>
      <c r="BP12" s="770"/>
      <c r="BQ12" s="775"/>
      <c r="BR12" s="370"/>
      <c r="BS12" s="774"/>
      <c r="BT12" s="380">
        <v>0</v>
      </c>
      <c r="BU12" s="770"/>
      <c r="BV12" s="775"/>
      <c r="BX12" s="776"/>
      <c r="BY12" s="386">
        <v>0.0376</v>
      </c>
      <c r="BZ12" s="770"/>
      <c r="CA12" s="777"/>
      <c r="CB12" s="368"/>
      <c r="CC12" s="776"/>
      <c r="CD12" s="380">
        <v>0</v>
      </c>
      <c r="CE12" s="770"/>
      <c r="CF12" s="777"/>
      <c r="CG12" s="387"/>
      <c r="CH12" s="776"/>
      <c r="CI12" s="386">
        <v>0.0118</v>
      </c>
      <c r="CJ12" s="770"/>
      <c r="CK12" s="777"/>
      <c r="CL12" s="370"/>
      <c r="CM12" s="774"/>
      <c r="CN12" s="380">
        <v>0</v>
      </c>
      <c r="CO12" s="770"/>
      <c r="CP12" s="775"/>
      <c r="CQ12" s="370"/>
      <c r="CR12" s="776"/>
      <c r="CS12" s="380">
        <v>0.0064</v>
      </c>
      <c r="CT12" s="770"/>
      <c r="CU12" s="777"/>
      <c r="CV12" s="368"/>
      <c r="CW12" s="774"/>
      <c r="CX12" s="380">
        <v>0</v>
      </c>
      <c r="CY12" s="770"/>
      <c r="CZ12" s="775"/>
      <c r="DA12" s="387"/>
      <c r="DB12" s="774"/>
      <c r="DC12" s="380">
        <v>0.0056</v>
      </c>
      <c r="DD12" s="770"/>
      <c r="DE12" s="775"/>
      <c r="DF12" s="370"/>
      <c r="DG12" s="774"/>
      <c r="DH12" s="380">
        <v>0</v>
      </c>
      <c r="DI12" s="770"/>
      <c r="DJ12" s="775"/>
    </row>
    <row r="13" spans="1:114" ht="12.75">
      <c r="A13" s="769">
        <v>5</v>
      </c>
      <c r="B13" s="380">
        <v>722.4</v>
      </c>
      <c r="C13" s="770">
        <f>ROUND(B13+B14,3)</f>
        <v>1495.2</v>
      </c>
      <c r="D13" s="771">
        <f>ROUND((D11+C13/14000),4)</f>
        <v>0.3132</v>
      </c>
      <c r="E13" s="772">
        <v>5</v>
      </c>
      <c r="F13" s="380">
        <v>0</v>
      </c>
      <c r="G13" s="770">
        <f>ROUND((42000*(F13+F14)/2),3)</f>
        <v>0</v>
      </c>
      <c r="H13" s="773">
        <f>ROUND((H11+G13/14000),4)</f>
        <v>0</v>
      </c>
      <c r="I13" s="774">
        <v>5</v>
      </c>
      <c r="J13" s="380">
        <v>180.6</v>
      </c>
      <c r="K13" s="770">
        <f>ROUND((J13+J14),3)</f>
        <v>369.6</v>
      </c>
      <c r="L13" s="773">
        <f>ROUND((L11+K13/14000),4)</f>
        <v>0.0798</v>
      </c>
      <c r="M13" s="774">
        <v>5</v>
      </c>
      <c r="N13" s="380">
        <v>0</v>
      </c>
      <c r="O13" s="770">
        <f>ROUND((42000*(N13+N14)/2),3)</f>
        <v>0</v>
      </c>
      <c r="P13" s="773">
        <f>ROUND((P11+O13/14000),4)</f>
        <v>0</v>
      </c>
      <c r="R13" s="774">
        <v>5</v>
      </c>
      <c r="S13" s="614">
        <v>470.4</v>
      </c>
      <c r="T13" s="770">
        <f>ROUND((S13+S14),3)</f>
        <v>974.4</v>
      </c>
      <c r="U13" s="775">
        <f>ROUND((U11+T13/14000),4)</f>
        <v>0.2073</v>
      </c>
      <c r="V13" s="774">
        <v>5</v>
      </c>
      <c r="W13" s="380">
        <v>0</v>
      </c>
      <c r="X13" s="770">
        <f>ROUND((42000*(W13+W14)/2),3)</f>
        <v>0</v>
      </c>
      <c r="Y13" s="775">
        <f>ROUND((Y11+X13/14000),4)</f>
        <v>0</v>
      </c>
      <c r="Z13" s="385"/>
      <c r="AA13" s="774">
        <v>5</v>
      </c>
      <c r="AB13" s="614">
        <v>0</v>
      </c>
      <c r="AC13" s="770">
        <f>ROUND((AB13+AB14),3)</f>
        <v>0</v>
      </c>
      <c r="AD13" s="775">
        <f>ROUND((AD11+AC13/14000),4)</f>
        <v>0.0003</v>
      </c>
      <c r="AE13" s="774">
        <v>5</v>
      </c>
      <c r="AF13" s="614">
        <v>134.4</v>
      </c>
      <c r="AG13" s="770">
        <f>ROUND((AF13+AF14),3)</f>
        <v>256.2</v>
      </c>
      <c r="AH13" s="775">
        <f>ROUND((AH11+AG13/14000),4)</f>
        <v>0.0546</v>
      </c>
      <c r="AJ13" s="776">
        <v>5</v>
      </c>
      <c r="AK13" s="386">
        <v>0.0196</v>
      </c>
      <c r="AL13" s="770">
        <f>ROUND((9600*(AK13+AK14)/2),3)</f>
        <v>205.44</v>
      </c>
      <c r="AM13" s="777">
        <f>ROUND((AM11+AL13/9600),4)</f>
        <v>0.065</v>
      </c>
      <c r="AN13" s="368"/>
      <c r="AO13" s="776">
        <v>5</v>
      </c>
      <c r="AP13" s="380">
        <v>0</v>
      </c>
      <c r="AQ13" s="770">
        <f>ROUND((14000*(AP13+AP14)/2),3)</f>
        <v>0</v>
      </c>
      <c r="AR13" s="777">
        <f>ROUND((AR11+AQ13/9600),4)</f>
        <v>0</v>
      </c>
      <c r="AS13" s="387"/>
      <c r="AT13" s="776">
        <v>5</v>
      </c>
      <c r="AU13" s="386">
        <v>0.0004</v>
      </c>
      <c r="AV13" s="770">
        <f>ROUND((9600*(AU13+AU14)/2),3)</f>
        <v>4.8</v>
      </c>
      <c r="AW13" s="777">
        <f>ROUND((AW11+AV13/9600),4)</f>
        <v>0.0017</v>
      </c>
      <c r="AX13" s="370"/>
      <c r="AY13" s="774">
        <v>5</v>
      </c>
      <c r="AZ13" s="380">
        <v>0.0034</v>
      </c>
      <c r="BA13" s="770">
        <f>ROUND((9600*(AZ13+AZ14)/2),3)</f>
        <v>29.76</v>
      </c>
      <c r="BB13" s="775">
        <f>ROUND((BB11+BA13/9600),4)</f>
        <v>0.0091</v>
      </c>
      <c r="BD13" s="776">
        <v>5</v>
      </c>
      <c r="BE13" s="386">
        <v>0.0008</v>
      </c>
      <c r="BF13" s="770">
        <f>ROUND((15*(BE13+BE14)/2),3)</f>
        <v>0.006</v>
      </c>
      <c r="BG13" s="777">
        <f>ROUND((BG11+BF13/15),4)</f>
        <v>0.0016</v>
      </c>
      <c r="BH13" s="368"/>
      <c r="BI13" s="774">
        <v>5</v>
      </c>
      <c r="BJ13" s="380">
        <v>0</v>
      </c>
      <c r="BK13" s="770">
        <f>ROUND((15*(BJ13+BJ14)/2),3)</f>
        <v>0</v>
      </c>
      <c r="BL13" s="775">
        <f>ROUND((BL11+BK13/15),4)</f>
        <v>0</v>
      </c>
      <c r="BM13" s="387"/>
      <c r="BN13" s="774">
        <v>5</v>
      </c>
      <c r="BO13" s="386">
        <v>0.0016</v>
      </c>
      <c r="BP13" s="770">
        <f>ROUND((15*(BO13+BO14)/2),3)</f>
        <v>0.024</v>
      </c>
      <c r="BQ13" s="775">
        <f>ROUND((BQ11+BP13/15),4)</f>
        <v>0.0052</v>
      </c>
      <c r="BR13" s="370"/>
      <c r="BS13" s="774">
        <v>5</v>
      </c>
      <c r="BT13" s="380">
        <v>0</v>
      </c>
      <c r="BU13" s="770">
        <f>ROUND((15*(BT13+BT14)/2),3)</f>
        <v>0</v>
      </c>
      <c r="BV13" s="775">
        <f>ROUND((BV11+BU13/15),4)</f>
        <v>0</v>
      </c>
      <c r="BX13" s="776">
        <v>5</v>
      </c>
      <c r="BY13" s="386">
        <v>0.0382</v>
      </c>
      <c r="BZ13" s="770">
        <f>ROUND((9600*(BY13+BY14)/2),3)</f>
        <v>374.4</v>
      </c>
      <c r="CA13" s="777">
        <f>ROUND((CA11+BZ13/9600),4)</f>
        <v>0.1131</v>
      </c>
      <c r="CB13" s="368"/>
      <c r="CC13" s="776">
        <v>5</v>
      </c>
      <c r="CD13" s="380">
        <v>0</v>
      </c>
      <c r="CE13" s="770">
        <f>ROUND((14000*(CD13+CD14)/2),3)</f>
        <v>0</v>
      </c>
      <c r="CF13" s="777">
        <f>ROUND((CF11+CE13/9600),4)</f>
        <v>0</v>
      </c>
      <c r="CG13" s="387"/>
      <c r="CH13" s="776">
        <v>5</v>
      </c>
      <c r="CI13" s="386">
        <v>0.0118</v>
      </c>
      <c r="CJ13" s="770">
        <f>ROUND((9600*(CI13+CI14)/2),3)</f>
        <v>112.32</v>
      </c>
      <c r="CK13" s="777">
        <f>ROUND((CK11+CJ13/9600),4)</f>
        <v>0.0351</v>
      </c>
      <c r="CL13" s="370"/>
      <c r="CM13" s="774">
        <v>5</v>
      </c>
      <c r="CN13" s="380">
        <v>0</v>
      </c>
      <c r="CO13" s="770">
        <f>ROUND((9600*(CN13+CN14)/2),3)</f>
        <v>0</v>
      </c>
      <c r="CP13" s="775">
        <f>ROUND((CP11+CO13/9600),4)</f>
        <v>0</v>
      </c>
      <c r="CQ13" s="370"/>
      <c r="CR13" s="776">
        <v>5</v>
      </c>
      <c r="CS13" s="380">
        <v>0.0064</v>
      </c>
      <c r="CT13" s="770">
        <f>ROUND((15*(CS13+CS14)/2),3)</f>
        <v>0.102</v>
      </c>
      <c r="CU13" s="777">
        <f>ROUND((CU11+CT13/15),4)</f>
        <v>0.02</v>
      </c>
      <c r="CV13" s="368"/>
      <c r="CW13" s="774">
        <v>5</v>
      </c>
      <c r="CX13" s="380">
        <v>0</v>
      </c>
      <c r="CY13" s="770">
        <f>ROUND((15*(CX13+CX14)/2),3)</f>
        <v>0</v>
      </c>
      <c r="CZ13" s="775">
        <f>ROUND((CZ11+CY13/15),4)</f>
        <v>0</v>
      </c>
      <c r="DA13" s="387"/>
      <c r="DB13" s="774">
        <v>5</v>
      </c>
      <c r="DC13" s="380">
        <v>0.0064</v>
      </c>
      <c r="DD13" s="770">
        <f>ROUND((15*(DC13+DC14)/2),3)</f>
        <v>0.09</v>
      </c>
      <c r="DE13" s="775">
        <f>ROUND((DE11+DD13/15),4)</f>
        <v>0.0176</v>
      </c>
      <c r="DF13" s="370"/>
      <c r="DG13" s="774">
        <v>5</v>
      </c>
      <c r="DH13" s="380">
        <v>0</v>
      </c>
      <c r="DI13" s="770">
        <f>ROUND((15*(DH13+DH14)/2),3)</f>
        <v>0</v>
      </c>
      <c r="DJ13" s="775">
        <f>ROUND((DJ11+DI13/15),4)</f>
        <v>0</v>
      </c>
    </row>
    <row r="14" spans="1:114" ht="12.75">
      <c r="A14" s="769"/>
      <c r="B14" s="380">
        <v>772.8</v>
      </c>
      <c r="C14" s="770"/>
      <c r="D14" s="771"/>
      <c r="E14" s="772"/>
      <c r="F14" s="380">
        <v>0</v>
      </c>
      <c r="G14" s="770"/>
      <c r="H14" s="773"/>
      <c r="I14" s="774"/>
      <c r="J14" s="380">
        <v>189</v>
      </c>
      <c r="K14" s="770"/>
      <c r="L14" s="773"/>
      <c r="M14" s="774"/>
      <c r="N14" s="380">
        <v>0</v>
      </c>
      <c r="O14" s="770"/>
      <c r="P14" s="773"/>
      <c r="R14" s="774"/>
      <c r="S14" s="614">
        <v>504</v>
      </c>
      <c r="T14" s="770"/>
      <c r="U14" s="775"/>
      <c r="V14" s="774"/>
      <c r="W14" s="380">
        <v>0</v>
      </c>
      <c r="X14" s="770"/>
      <c r="Y14" s="775"/>
      <c r="Z14" s="385"/>
      <c r="AA14" s="774"/>
      <c r="AB14" s="614">
        <v>0</v>
      </c>
      <c r="AC14" s="770"/>
      <c r="AD14" s="775"/>
      <c r="AE14" s="774"/>
      <c r="AF14" s="614">
        <v>121.8</v>
      </c>
      <c r="AG14" s="770"/>
      <c r="AH14" s="775"/>
      <c r="AJ14" s="776"/>
      <c r="AK14" s="386">
        <v>0.0232</v>
      </c>
      <c r="AL14" s="770"/>
      <c r="AM14" s="777"/>
      <c r="AN14" s="368"/>
      <c r="AO14" s="776"/>
      <c r="AP14" s="380">
        <v>0</v>
      </c>
      <c r="AQ14" s="770"/>
      <c r="AR14" s="777"/>
      <c r="AS14" s="387"/>
      <c r="AT14" s="776"/>
      <c r="AU14" s="386">
        <v>0.0006</v>
      </c>
      <c r="AV14" s="770"/>
      <c r="AW14" s="777"/>
      <c r="AX14" s="370"/>
      <c r="AY14" s="774"/>
      <c r="AZ14" s="380">
        <v>0.0028</v>
      </c>
      <c r="BA14" s="770"/>
      <c r="BB14" s="775"/>
      <c r="BD14" s="776"/>
      <c r="BE14" s="386">
        <v>0</v>
      </c>
      <c r="BF14" s="770"/>
      <c r="BG14" s="777"/>
      <c r="BH14" s="368"/>
      <c r="BI14" s="774"/>
      <c r="BJ14" s="380">
        <v>0</v>
      </c>
      <c r="BK14" s="770"/>
      <c r="BL14" s="775"/>
      <c r="BM14" s="387"/>
      <c r="BN14" s="774"/>
      <c r="BO14" s="386">
        <v>0.0016</v>
      </c>
      <c r="BP14" s="770"/>
      <c r="BQ14" s="775"/>
      <c r="BR14" s="370"/>
      <c r="BS14" s="774"/>
      <c r="BT14" s="380">
        <v>0</v>
      </c>
      <c r="BU14" s="770"/>
      <c r="BV14" s="775"/>
      <c r="BX14" s="776"/>
      <c r="BY14" s="386">
        <v>0.0398</v>
      </c>
      <c r="BZ14" s="770"/>
      <c r="CA14" s="777"/>
      <c r="CB14" s="368"/>
      <c r="CC14" s="776"/>
      <c r="CD14" s="380">
        <v>0</v>
      </c>
      <c r="CE14" s="770"/>
      <c r="CF14" s="777"/>
      <c r="CG14" s="387"/>
      <c r="CH14" s="776"/>
      <c r="CI14" s="386">
        <v>0.0116</v>
      </c>
      <c r="CJ14" s="770"/>
      <c r="CK14" s="777"/>
      <c r="CL14" s="370"/>
      <c r="CM14" s="774"/>
      <c r="CN14" s="380">
        <v>0</v>
      </c>
      <c r="CO14" s="770"/>
      <c r="CP14" s="775"/>
      <c r="CQ14" s="370"/>
      <c r="CR14" s="776"/>
      <c r="CS14" s="380">
        <v>0.0072</v>
      </c>
      <c r="CT14" s="770"/>
      <c r="CU14" s="777"/>
      <c r="CV14" s="368"/>
      <c r="CW14" s="774"/>
      <c r="CX14" s="380">
        <v>0</v>
      </c>
      <c r="CY14" s="770"/>
      <c r="CZ14" s="775"/>
      <c r="DA14" s="387"/>
      <c r="DB14" s="774"/>
      <c r="DC14" s="380">
        <v>0.0056</v>
      </c>
      <c r="DD14" s="770"/>
      <c r="DE14" s="775"/>
      <c r="DF14" s="370"/>
      <c r="DG14" s="774"/>
      <c r="DH14" s="380">
        <v>0</v>
      </c>
      <c r="DI14" s="770"/>
      <c r="DJ14" s="775"/>
    </row>
    <row r="15" spans="1:114" ht="12.75">
      <c r="A15" s="769">
        <v>6</v>
      </c>
      <c r="B15" s="380">
        <v>848.4</v>
      </c>
      <c r="C15" s="770">
        <f>ROUND(B15+B16,3)</f>
        <v>1764</v>
      </c>
      <c r="D15" s="771">
        <f>ROUND((D13+C15/14000),4)</f>
        <v>0.4392</v>
      </c>
      <c r="E15" s="772">
        <v>6</v>
      </c>
      <c r="F15" s="380">
        <v>0</v>
      </c>
      <c r="G15" s="770">
        <f>ROUND((42000*(F15+F16)/2),3)</f>
        <v>0</v>
      </c>
      <c r="H15" s="773">
        <f>ROUND((H13+G15/14000),4)</f>
        <v>0</v>
      </c>
      <c r="I15" s="774">
        <v>6</v>
      </c>
      <c r="J15" s="380">
        <v>193.2</v>
      </c>
      <c r="K15" s="770">
        <f>ROUND((J15+J16),3)</f>
        <v>386.4</v>
      </c>
      <c r="L15" s="773">
        <f>ROUND((L13+K15/14000),4)</f>
        <v>0.1074</v>
      </c>
      <c r="M15" s="774">
        <v>6</v>
      </c>
      <c r="N15" s="380">
        <v>0</v>
      </c>
      <c r="O15" s="770">
        <f>ROUND((42000*(N15+N16)/2),3)</f>
        <v>0</v>
      </c>
      <c r="P15" s="773">
        <f>ROUND((P13+O15/14000),4)</f>
        <v>0</v>
      </c>
      <c r="R15" s="774">
        <v>6</v>
      </c>
      <c r="S15" s="614">
        <v>558.6</v>
      </c>
      <c r="T15" s="770">
        <f>ROUND((S15+S16),3)</f>
        <v>1230.6</v>
      </c>
      <c r="U15" s="775">
        <f>ROUND((U13+T15/14000),4)</f>
        <v>0.2952</v>
      </c>
      <c r="V15" s="774">
        <v>6</v>
      </c>
      <c r="W15" s="380">
        <v>0</v>
      </c>
      <c r="X15" s="770">
        <f>ROUND((42000*(W15+W16)/2),3)</f>
        <v>0</v>
      </c>
      <c r="Y15" s="775">
        <f>ROUND((Y13+X15/14000),4)</f>
        <v>0</v>
      </c>
      <c r="Z15" s="385"/>
      <c r="AA15" s="774">
        <v>6</v>
      </c>
      <c r="AB15" s="614">
        <v>0</v>
      </c>
      <c r="AC15" s="770">
        <f>ROUND((AB15+AB16),3)</f>
        <v>12.6</v>
      </c>
      <c r="AD15" s="775">
        <f>ROUND((AD13+AC15/14000),4)</f>
        <v>0.0012</v>
      </c>
      <c r="AE15" s="774">
        <v>6</v>
      </c>
      <c r="AF15" s="614">
        <v>130.2</v>
      </c>
      <c r="AG15" s="770">
        <f>ROUND((AF15+AF16),3)</f>
        <v>184.8</v>
      </c>
      <c r="AH15" s="775">
        <f>ROUND((AH13+AG15/14000),4)</f>
        <v>0.0678</v>
      </c>
      <c r="AJ15" s="776">
        <v>6</v>
      </c>
      <c r="AK15" s="386">
        <v>0.021</v>
      </c>
      <c r="AL15" s="770">
        <f>ROUND((9600*(AK15+AK16)/2),3)</f>
        <v>220.8</v>
      </c>
      <c r="AM15" s="777">
        <f>ROUND((AM13+AL15/9600),4)</f>
        <v>0.088</v>
      </c>
      <c r="AN15" s="368"/>
      <c r="AO15" s="776">
        <v>6</v>
      </c>
      <c r="AP15" s="380">
        <v>0</v>
      </c>
      <c r="AQ15" s="770">
        <f>ROUND((14000*(AP15+AP16)/2),3)</f>
        <v>0</v>
      </c>
      <c r="AR15" s="777">
        <f>ROUND((AR13+AQ15/9600),4)</f>
        <v>0</v>
      </c>
      <c r="AS15" s="387"/>
      <c r="AT15" s="776">
        <v>6</v>
      </c>
      <c r="AU15" s="386">
        <v>0.0004</v>
      </c>
      <c r="AV15" s="770">
        <f>ROUND((9600*(AU15+AU16)/2),3)</f>
        <v>4.8</v>
      </c>
      <c r="AW15" s="777">
        <f>ROUND((AW13+AV15/9600),4)</f>
        <v>0.0022</v>
      </c>
      <c r="AX15" s="370"/>
      <c r="AY15" s="774">
        <v>6</v>
      </c>
      <c r="AZ15" s="380">
        <v>0.0036</v>
      </c>
      <c r="BA15" s="770">
        <f>ROUND((9600*(AZ15+AZ16)/2),3)</f>
        <v>28.8</v>
      </c>
      <c r="BB15" s="775">
        <f>ROUND((BB13+BA15/9600),4)</f>
        <v>0.0121</v>
      </c>
      <c r="BD15" s="776">
        <v>6</v>
      </c>
      <c r="BE15" s="386">
        <v>0.0008</v>
      </c>
      <c r="BF15" s="770">
        <f>ROUND((15*(BE15+BE16)/2),3)</f>
        <v>0.012</v>
      </c>
      <c r="BG15" s="777">
        <f>ROUND((BG13+BF15/15),4)</f>
        <v>0.0024</v>
      </c>
      <c r="BH15" s="368"/>
      <c r="BI15" s="774">
        <v>6</v>
      </c>
      <c r="BJ15" s="380">
        <v>0</v>
      </c>
      <c r="BK15" s="770">
        <f>ROUND((15*(BJ15+BJ16)/2),3)</f>
        <v>0</v>
      </c>
      <c r="BL15" s="775">
        <f>ROUND((BL13+BK15/15),4)</f>
        <v>0</v>
      </c>
      <c r="BM15" s="387"/>
      <c r="BN15" s="774">
        <v>6</v>
      </c>
      <c r="BO15" s="386">
        <v>0.0016</v>
      </c>
      <c r="BP15" s="770">
        <f>ROUND((15*(BO15+BO16)/2),3)</f>
        <v>0.024</v>
      </c>
      <c r="BQ15" s="775">
        <f>ROUND((BQ13+BP15/15),4)</f>
        <v>0.0068</v>
      </c>
      <c r="BR15" s="370"/>
      <c r="BS15" s="774">
        <v>6</v>
      </c>
      <c r="BT15" s="380">
        <v>0</v>
      </c>
      <c r="BU15" s="770">
        <f>ROUND((15*(BT15+BT16)/2),3)</f>
        <v>0</v>
      </c>
      <c r="BV15" s="775">
        <f>ROUND((BV13+BU15/15),4)</f>
        <v>0</v>
      </c>
      <c r="BX15" s="776">
        <v>6</v>
      </c>
      <c r="BY15" s="386">
        <v>0.0426</v>
      </c>
      <c r="BZ15" s="770">
        <f>ROUND((9600*(BY15+BY16)/2),3)</f>
        <v>420.48</v>
      </c>
      <c r="CA15" s="777">
        <f>ROUND((CA13+BZ15/9600),4)</f>
        <v>0.1569</v>
      </c>
      <c r="CB15" s="368"/>
      <c r="CC15" s="776">
        <v>6</v>
      </c>
      <c r="CD15" s="380">
        <v>0</v>
      </c>
      <c r="CE15" s="770">
        <f>ROUND((14000*(CD15+CD16)/2),3)</f>
        <v>0</v>
      </c>
      <c r="CF15" s="777">
        <f>ROUND((CF13+CE15/9600),4)</f>
        <v>0</v>
      </c>
      <c r="CG15" s="387"/>
      <c r="CH15" s="776">
        <v>6</v>
      </c>
      <c r="CI15" s="386">
        <v>0.0114</v>
      </c>
      <c r="CJ15" s="770">
        <f>ROUND((9600*(CI15+CI16)/2),3)</f>
        <v>109.44</v>
      </c>
      <c r="CK15" s="777">
        <f>ROUND((CK13+CJ15/9600),4)</f>
        <v>0.0465</v>
      </c>
      <c r="CL15" s="370"/>
      <c r="CM15" s="774">
        <v>6</v>
      </c>
      <c r="CN15" s="380">
        <v>0</v>
      </c>
      <c r="CO15" s="770">
        <f>ROUND((9600*(CN15+CN16)/2),3)</f>
        <v>0</v>
      </c>
      <c r="CP15" s="775">
        <f>ROUND((CP13+CO15/9600),4)</f>
        <v>0</v>
      </c>
      <c r="CQ15" s="370"/>
      <c r="CR15" s="776">
        <v>6</v>
      </c>
      <c r="CS15" s="380">
        <v>0.0064</v>
      </c>
      <c r="CT15" s="770">
        <f>ROUND((15*(CS15+CS16)/2),3)</f>
        <v>0.096</v>
      </c>
      <c r="CU15" s="777">
        <f>ROUND((CU13+CT15/15),4)</f>
        <v>0.0264</v>
      </c>
      <c r="CV15" s="368"/>
      <c r="CW15" s="774">
        <v>6</v>
      </c>
      <c r="CX15" s="380">
        <v>0</v>
      </c>
      <c r="CY15" s="770">
        <f>ROUND((15*(CX15+CX16)/2),3)</f>
        <v>0</v>
      </c>
      <c r="CZ15" s="775">
        <f>ROUND((CZ13+CY15/15),4)</f>
        <v>0</v>
      </c>
      <c r="DA15" s="387"/>
      <c r="DB15" s="774">
        <v>6</v>
      </c>
      <c r="DC15" s="380">
        <v>0.0056</v>
      </c>
      <c r="DD15" s="770">
        <f>ROUND((15*(DC15+DC16)/2),3)</f>
        <v>0.09</v>
      </c>
      <c r="DE15" s="775">
        <f>ROUND((DE13+DD15/15),4)</f>
        <v>0.0236</v>
      </c>
      <c r="DF15" s="370"/>
      <c r="DG15" s="774">
        <v>6</v>
      </c>
      <c r="DH15" s="380">
        <v>0</v>
      </c>
      <c r="DI15" s="770">
        <f>ROUND((15*(DH15+DH16)/2),3)</f>
        <v>0</v>
      </c>
      <c r="DJ15" s="775">
        <f>ROUND((DJ13+DI15/15),4)</f>
        <v>0</v>
      </c>
    </row>
    <row r="16" spans="1:114" ht="12.75">
      <c r="A16" s="769"/>
      <c r="B16" s="380">
        <v>915.6</v>
      </c>
      <c r="C16" s="770"/>
      <c r="D16" s="771"/>
      <c r="E16" s="772"/>
      <c r="F16" s="380">
        <v>0</v>
      </c>
      <c r="G16" s="770"/>
      <c r="H16" s="773"/>
      <c r="I16" s="774"/>
      <c r="J16" s="380">
        <v>193.2</v>
      </c>
      <c r="K16" s="770"/>
      <c r="L16" s="773"/>
      <c r="M16" s="774"/>
      <c r="N16" s="380">
        <v>0</v>
      </c>
      <c r="O16" s="770"/>
      <c r="P16" s="773"/>
      <c r="R16" s="774"/>
      <c r="S16" s="614">
        <v>672</v>
      </c>
      <c r="T16" s="770"/>
      <c r="U16" s="775"/>
      <c r="V16" s="774"/>
      <c r="W16" s="380">
        <v>0</v>
      </c>
      <c r="X16" s="770"/>
      <c r="Y16" s="775"/>
      <c r="Z16" s="385"/>
      <c r="AA16" s="774"/>
      <c r="AB16" s="614">
        <v>12.6</v>
      </c>
      <c r="AC16" s="770"/>
      <c r="AD16" s="775"/>
      <c r="AE16" s="774"/>
      <c r="AF16" s="614">
        <v>54.6</v>
      </c>
      <c r="AG16" s="770"/>
      <c r="AH16" s="775"/>
      <c r="AJ16" s="776"/>
      <c r="AK16" s="386">
        <v>0.025</v>
      </c>
      <c r="AL16" s="770"/>
      <c r="AM16" s="777"/>
      <c r="AN16" s="368"/>
      <c r="AO16" s="776"/>
      <c r="AP16" s="380">
        <v>0</v>
      </c>
      <c r="AQ16" s="770"/>
      <c r="AR16" s="777"/>
      <c r="AS16" s="387"/>
      <c r="AT16" s="776"/>
      <c r="AU16" s="386">
        <v>0.0006</v>
      </c>
      <c r="AV16" s="770"/>
      <c r="AW16" s="777"/>
      <c r="AX16" s="370"/>
      <c r="AY16" s="774"/>
      <c r="AZ16" s="380">
        <v>0.0024</v>
      </c>
      <c r="BA16" s="770"/>
      <c r="BB16" s="775"/>
      <c r="BD16" s="776"/>
      <c r="BE16" s="386">
        <v>0.0008</v>
      </c>
      <c r="BF16" s="770"/>
      <c r="BG16" s="777"/>
      <c r="BH16" s="368"/>
      <c r="BI16" s="774"/>
      <c r="BJ16" s="380">
        <v>0</v>
      </c>
      <c r="BK16" s="770"/>
      <c r="BL16" s="775"/>
      <c r="BM16" s="387"/>
      <c r="BN16" s="774"/>
      <c r="BO16" s="386">
        <v>0.0016</v>
      </c>
      <c r="BP16" s="770"/>
      <c r="BQ16" s="775"/>
      <c r="BR16" s="370"/>
      <c r="BS16" s="774"/>
      <c r="BT16" s="380">
        <v>0</v>
      </c>
      <c r="BU16" s="770"/>
      <c r="BV16" s="775"/>
      <c r="BX16" s="776"/>
      <c r="BY16" s="386">
        <v>0.045</v>
      </c>
      <c r="BZ16" s="770"/>
      <c r="CA16" s="777"/>
      <c r="CB16" s="368"/>
      <c r="CC16" s="776"/>
      <c r="CD16" s="380">
        <v>0</v>
      </c>
      <c r="CE16" s="770"/>
      <c r="CF16" s="777"/>
      <c r="CG16" s="387"/>
      <c r="CH16" s="776"/>
      <c r="CI16" s="386">
        <v>0.0114</v>
      </c>
      <c r="CJ16" s="770"/>
      <c r="CK16" s="777"/>
      <c r="CL16" s="370"/>
      <c r="CM16" s="774"/>
      <c r="CN16" s="380">
        <v>0</v>
      </c>
      <c r="CO16" s="770"/>
      <c r="CP16" s="775"/>
      <c r="CQ16" s="370"/>
      <c r="CR16" s="776"/>
      <c r="CS16" s="380">
        <v>0.0064</v>
      </c>
      <c r="CT16" s="770"/>
      <c r="CU16" s="777"/>
      <c r="CV16" s="368"/>
      <c r="CW16" s="774"/>
      <c r="CX16" s="380">
        <v>0</v>
      </c>
      <c r="CY16" s="770"/>
      <c r="CZ16" s="775"/>
      <c r="DA16" s="387"/>
      <c r="DB16" s="774"/>
      <c r="DC16" s="380">
        <v>0.0064</v>
      </c>
      <c r="DD16" s="770"/>
      <c r="DE16" s="775"/>
      <c r="DF16" s="370"/>
      <c r="DG16" s="774"/>
      <c r="DH16" s="380">
        <v>0</v>
      </c>
      <c r="DI16" s="770"/>
      <c r="DJ16" s="775"/>
    </row>
    <row r="17" spans="1:114" ht="12.75">
      <c r="A17" s="769">
        <v>7</v>
      </c>
      <c r="B17" s="380">
        <v>961.8</v>
      </c>
      <c r="C17" s="770">
        <f>ROUND(B17+B18,3)</f>
        <v>1940.4</v>
      </c>
      <c r="D17" s="771">
        <f>ROUND((D15+C17/14000),4)</f>
        <v>0.5778</v>
      </c>
      <c r="E17" s="772">
        <v>7</v>
      </c>
      <c r="F17" s="380">
        <v>0</v>
      </c>
      <c r="G17" s="770">
        <f>ROUND((42000*(F17+F18)/2),3)</f>
        <v>0</v>
      </c>
      <c r="H17" s="773">
        <f>ROUND((H15+G17/14000),4)</f>
        <v>0</v>
      </c>
      <c r="I17" s="774">
        <v>7</v>
      </c>
      <c r="J17" s="380">
        <v>189</v>
      </c>
      <c r="K17" s="770">
        <f>ROUND((J17+J18),3)</f>
        <v>386.4</v>
      </c>
      <c r="L17" s="773">
        <f>ROUND((L15+K17/14000),4)</f>
        <v>0.135</v>
      </c>
      <c r="M17" s="774">
        <v>7</v>
      </c>
      <c r="N17" s="380">
        <v>0</v>
      </c>
      <c r="O17" s="770">
        <f>ROUND((42000*(N17+N18)/2),3)</f>
        <v>0</v>
      </c>
      <c r="P17" s="773">
        <f>ROUND((P15+O17/14000),4)</f>
        <v>0</v>
      </c>
      <c r="R17" s="774">
        <v>7</v>
      </c>
      <c r="S17" s="614">
        <v>709.8</v>
      </c>
      <c r="T17" s="770">
        <f>ROUND((S17+S18),3)</f>
        <v>1461.6</v>
      </c>
      <c r="U17" s="775">
        <f>ROUND((U15+T17/14000),4)</f>
        <v>0.3996</v>
      </c>
      <c r="V17" s="774">
        <v>7</v>
      </c>
      <c r="W17" s="380">
        <v>0</v>
      </c>
      <c r="X17" s="770">
        <f>ROUND((42000*(W17+W18)/2),3)</f>
        <v>0</v>
      </c>
      <c r="Y17" s="775">
        <f>ROUND((Y15+X17/14000),4)</f>
        <v>0</v>
      </c>
      <c r="Z17" s="385"/>
      <c r="AA17" s="774">
        <v>7</v>
      </c>
      <c r="AB17" s="616">
        <v>25.2</v>
      </c>
      <c r="AC17" s="770">
        <f>ROUND((AB17+AB18),3)</f>
        <v>67.2</v>
      </c>
      <c r="AD17" s="775">
        <f>ROUND((AD15+AC17/14000),4)</f>
        <v>0.006</v>
      </c>
      <c r="AE17" s="774">
        <v>7</v>
      </c>
      <c r="AF17" s="614">
        <v>25.2</v>
      </c>
      <c r="AG17" s="770">
        <f>ROUND((AF17+AF18),3)</f>
        <v>33.6</v>
      </c>
      <c r="AH17" s="775">
        <f>ROUND((AH15+AG17/14000),4)</f>
        <v>0.0702</v>
      </c>
      <c r="AJ17" s="776">
        <v>7</v>
      </c>
      <c r="AK17" s="389">
        <v>0.0218</v>
      </c>
      <c r="AL17" s="770">
        <f>ROUND((9600*(AK17+AK18)/2),3)</f>
        <v>205.44</v>
      </c>
      <c r="AM17" s="777">
        <f>ROUND((AM15+AL17/9600),4)</f>
        <v>0.1094</v>
      </c>
      <c r="AN17" s="368"/>
      <c r="AO17" s="776">
        <v>7</v>
      </c>
      <c r="AP17" s="380">
        <v>0</v>
      </c>
      <c r="AQ17" s="770">
        <f>ROUND((14000*(AP17+AP18)/2),3)</f>
        <v>0</v>
      </c>
      <c r="AR17" s="777">
        <f>ROUND((AR15+AQ17/9600),4)</f>
        <v>0</v>
      </c>
      <c r="AS17" s="387"/>
      <c r="AT17" s="776">
        <v>7</v>
      </c>
      <c r="AU17" s="389">
        <v>0.001</v>
      </c>
      <c r="AV17" s="770">
        <f>ROUND((9600*(AU17+AU18)/2),3)</f>
        <v>8.64</v>
      </c>
      <c r="AW17" s="777">
        <f>ROUND((AW15+AV17/9600),4)</f>
        <v>0.0031</v>
      </c>
      <c r="AX17" s="370"/>
      <c r="AY17" s="774">
        <v>7</v>
      </c>
      <c r="AZ17" s="380">
        <v>0.0028</v>
      </c>
      <c r="BA17" s="770">
        <f>ROUND((9600*(AZ17+AZ18)/2),3)</f>
        <v>22.08</v>
      </c>
      <c r="BB17" s="775">
        <f>ROUND((BB15+BA17/9600),4)</f>
        <v>0.0144</v>
      </c>
      <c r="BD17" s="776">
        <v>7</v>
      </c>
      <c r="BE17" s="389">
        <v>0.0008</v>
      </c>
      <c r="BF17" s="770">
        <f>ROUND((15*(BE17+BE18)/2),3)</f>
        <v>0.012</v>
      </c>
      <c r="BG17" s="777">
        <f>ROUND((BG15+BF17/15),4)</f>
        <v>0.0032</v>
      </c>
      <c r="BH17" s="368"/>
      <c r="BI17" s="774">
        <v>7</v>
      </c>
      <c r="BJ17" s="388">
        <v>0</v>
      </c>
      <c r="BK17" s="770">
        <f>ROUND((15*(BJ17+BJ18)/2),3)</f>
        <v>0</v>
      </c>
      <c r="BL17" s="775">
        <f>ROUND((BL15+BK17/15),4)</f>
        <v>0</v>
      </c>
      <c r="BM17" s="387"/>
      <c r="BN17" s="774">
        <v>7</v>
      </c>
      <c r="BO17" s="389">
        <v>0.0016</v>
      </c>
      <c r="BP17" s="770">
        <f>ROUND((15*(BO17+BO18)/2),3)</f>
        <v>0.024</v>
      </c>
      <c r="BQ17" s="775">
        <f>ROUND((BQ15+BP17/15),4)</f>
        <v>0.0084</v>
      </c>
      <c r="BR17" s="370"/>
      <c r="BS17" s="774">
        <v>7</v>
      </c>
      <c r="BT17" s="380">
        <v>0</v>
      </c>
      <c r="BU17" s="770">
        <f>ROUND((15*(BT17+BT18)/2),3)</f>
        <v>0</v>
      </c>
      <c r="BV17" s="775">
        <f>ROUND((BV15+BU17/15),4)</f>
        <v>0</v>
      </c>
      <c r="BX17" s="776">
        <v>7</v>
      </c>
      <c r="BY17" s="386">
        <v>0.042</v>
      </c>
      <c r="BZ17" s="770">
        <f>ROUND((9600*(BY17+BY18)/2),3)</f>
        <v>401.28</v>
      </c>
      <c r="CA17" s="777">
        <f>ROUND((CA15+BZ17/9600),4)</f>
        <v>0.1987</v>
      </c>
      <c r="CB17" s="368"/>
      <c r="CC17" s="776">
        <v>7</v>
      </c>
      <c r="CD17" s="380">
        <v>0</v>
      </c>
      <c r="CE17" s="770">
        <f>ROUND((14000*(CD17+CD18)/2),3)</f>
        <v>0</v>
      </c>
      <c r="CF17" s="777">
        <f>ROUND((CF15+CE17/9600),4)</f>
        <v>0</v>
      </c>
      <c r="CG17" s="387"/>
      <c r="CH17" s="776">
        <v>7</v>
      </c>
      <c r="CI17" s="386">
        <v>0.011</v>
      </c>
      <c r="CJ17" s="770">
        <f>ROUND((9600*(CI17+CI18)/2),3)</f>
        <v>105.6</v>
      </c>
      <c r="CK17" s="777">
        <f>ROUND((CK15+CJ17/9600),4)</f>
        <v>0.0575</v>
      </c>
      <c r="CL17" s="370"/>
      <c r="CM17" s="774">
        <v>7</v>
      </c>
      <c r="CN17" s="380">
        <v>0</v>
      </c>
      <c r="CO17" s="770">
        <f>ROUND((9600*(CN17+CN18)/2),3)</f>
        <v>0</v>
      </c>
      <c r="CP17" s="775">
        <f>ROUND((CP15+CO17/9600),4)</f>
        <v>0</v>
      </c>
      <c r="CQ17" s="370"/>
      <c r="CR17" s="776">
        <v>7</v>
      </c>
      <c r="CS17" s="380">
        <v>0.0064</v>
      </c>
      <c r="CT17" s="770">
        <f>ROUND((15*(CS17+CS18)/2),3)</f>
        <v>0.096</v>
      </c>
      <c r="CU17" s="777">
        <f>ROUND((CU15+CT17/15),4)</f>
        <v>0.0328</v>
      </c>
      <c r="CV17" s="368"/>
      <c r="CW17" s="774">
        <v>7</v>
      </c>
      <c r="CX17" s="388">
        <v>0</v>
      </c>
      <c r="CY17" s="770">
        <f>ROUND((15*(CX17+CX18)/2),3)</f>
        <v>0</v>
      </c>
      <c r="CZ17" s="775">
        <f>ROUND((CZ15+CY17/15),4)</f>
        <v>0</v>
      </c>
      <c r="DA17" s="387"/>
      <c r="DB17" s="774">
        <v>7</v>
      </c>
      <c r="DC17" s="380">
        <v>0.0056</v>
      </c>
      <c r="DD17" s="770">
        <f>ROUND((15*(DC17+DC18)/2),3)</f>
        <v>0.084</v>
      </c>
      <c r="DE17" s="775">
        <f>ROUND((DE15+DD17/15),4)</f>
        <v>0.0292</v>
      </c>
      <c r="DF17" s="370"/>
      <c r="DG17" s="774">
        <v>7</v>
      </c>
      <c r="DH17" s="380">
        <v>0</v>
      </c>
      <c r="DI17" s="770">
        <f>ROUND((15*(DH17+DH18)/2),3)</f>
        <v>0</v>
      </c>
      <c r="DJ17" s="775">
        <f>ROUND((DJ15+DI17/15),4)</f>
        <v>0</v>
      </c>
    </row>
    <row r="18" spans="1:114" ht="12.75">
      <c r="A18" s="769"/>
      <c r="B18" s="380">
        <v>978.6</v>
      </c>
      <c r="C18" s="770"/>
      <c r="D18" s="771"/>
      <c r="E18" s="772"/>
      <c r="F18" s="380">
        <v>0</v>
      </c>
      <c r="G18" s="770"/>
      <c r="H18" s="773"/>
      <c r="I18" s="774"/>
      <c r="J18" s="380">
        <v>197.4</v>
      </c>
      <c r="K18" s="770"/>
      <c r="L18" s="773"/>
      <c r="M18" s="774"/>
      <c r="N18" s="380">
        <v>0</v>
      </c>
      <c r="O18" s="770"/>
      <c r="P18" s="773"/>
      <c r="R18" s="774"/>
      <c r="S18" s="614">
        <v>751.8</v>
      </c>
      <c r="T18" s="770"/>
      <c r="U18" s="775"/>
      <c r="V18" s="774"/>
      <c r="W18" s="380">
        <v>0</v>
      </c>
      <c r="X18" s="770"/>
      <c r="Y18" s="775"/>
      <c r="Z18" s="385"/>
      <c r="AA18" s="774"/>
      <c r="AB18" s="614">
        <v>42</v>
      </c>
      <c r="AC18" s="770"/>
      <c r="AD18" s="775"/>
      <c r="AE18" s="774"/>
      <c r="AF18" s="614">
        <v>8.4</v>
      </c>
      <c r="AG18" s="770"/>
      <c r="AH18" s="775"/>
      <c r="AJ18" s="776"/>
      <c r="AK18" s="386">
        <v>0.021</v>
      </c>
      <c r="AL18" s="770"/>
      <c r="AM18" s="777"/>
      <c r="AN18" s="368"/>
      <c r="AO18" s="776"/>
      <c r="AP18" s="380">
        <v>0</v>
      </c>
      <c r="AQ18" s="770"/>
      <c r="AR18" s="777"/>
      <c r="AS18" s="387"/>
      <c r="AT18" s="776"/>
      <c r="AU18" s="386">
        <v>0.0008</v>
      </c>
      <c r="AV18" s="770"/>
      <c r="AW18" s="777"/>
      <c r="AX18" s="370"/>
      <c r="AY18" s="774"/>
      <c r="AZ18" s="380">
        <v>0.0018</v>
      </c>
      <c r="BA18" s="770"/>
      <c r="BB18" s="775"/>
      <c r="BD18" s="776"/>
      <c r="BE18" s="386">
        <v>0.0008</v>
      </c>
      <c r="BF18" s="770"/>
      <c r="BG18" s="777"/>
      <c r="BH18" s="368"/>
      <c r="BI18" s="774"/>
      <c r="BJ18" s="380">
        <v>0</v>
      </c>
      <c r="BK18" s="770"/>
      <c r="BL18" s="775"/>
      <c r="BM18" s="387"/>
      <c r="BN18" s="774"/>
      <c r="BO18" s="386">
        <v>0.0016</v>
      </c>
      <c r="BP18" s="770"/>
      <c r="BQ18" s="775"/>
      <c r="BR18" s="370"/>
      <c r="BS18" s="774"/>
      <c r="BT18" s="380">
        <v>0</v>
      </c>
      <c r="BU18" s="770"/>
      <c r="BV18" s="775"/>
      <c r="BX18" s="776"/>
      <c r="BY18" s="386">
        <v>0.0416</v>
      </c>
      <c r="BZ18" s="770"/>
      <c r="CA18" s="777"/>
      <c r="CB18" s="368"/>
      <c r="CC18" s="776"/>
      <c r="CD18" s="380">
        <v>0</v>
      </c>
      <c r="CE18" s="770"/>
      <c r="CF18" s="777"/>
      <c r="CG18" s="387"/>
      <c r="CH18" s="776"/>
      <c r="CI18" s="386">
        <v>0.011</v>
      </c>
      <c r="CJ18" s="770"/>
      <c r="CK18" s="777"/>
      <c r="CL18" s="370"/>
      <c r="CM18" s="774"/>
      <c r="CN18" s="380">
        <v>0</v>
      </c>
      <c r="CO18" s="770"/>
      <c r="CP18" s="775"/>
      <c r="CQ18" s="370"/>
      <c r="CR18" s="776"/>
      <c r="CS18" s="380">
        <v>0.0064</v>
      </c>
      <c r="CT18" s="770"/>
      <c r="CU18" s="777"/>
      <c r="CV18" s="368"/>
      <c r="CW18" s="774"/>
      <c r="CX18" s="380">
        <v>0</v>
      </c>
      <c r="CY18" s="770"/>
      <c r="CZ18" s="775"/>
      <c r="DA18" s="387"/>
      <c r="DB18" s="774"/>
      <c r="DC18" s="380">
        <v>0.0056</v>
      </c>
      <c r="DD18" s="770"/>
      <c r="DE18" s="775"/>
      <c r="DF18" s="370"/>
      <c r="DG18" s="774"/>
      <c r="DH18" s="380">
        <v>0</v>
      </c>
      <c r="DI18" s="770"/>
      <c r="DJ18" s="775"/>
    </row>
    <row r="19" spans="1:114" ht="12.75">
      <c r="A19" s="769">
        <v>8</v>
      </c>
      <c r="B19" s="380">
        <v>1033.2</v>
      </c>
      <c r="C19" s="770">
        <f>ROUND(B19+B20,3)</f>
        <v>2133.6</v>
      </c>
      <c r="D19" s="771">
        <f>ROUND((D17+C19/14000),4)</f>
        <v>0.7302</v>
      </c>
      <c r="E19" s="772">
        <v>8</v>
      </c>
      <c r="F19" s="380">
        <v>0</v>
      </c>
      <c r="G19" s="770">
        <f>ROUND((42000*(F19+F20)/2),3)</f>
        <v>0</v>
      </c>
      <c r="H19" s="773">
        <f>ROUND((H17+G19/14000),4)</f>
        <v>0</v>
      </c>
      <c r="I19" s="774">
        <v>8</v>
      </c>
      <c r="J19" s="380">
        <v>205.8</v>
      </c>
      <c r="K19" s="770">
        <f>ROUND((J19+J20),3)</f>
        <v>420</v>
      </c>
      <c r="L19" s="773">
        <f>ROUND((L17+K19/14000),4)</f>
        <v>0.165</v>
      </c>
      <c r="M19" s="774">
        <v>8</v>
      </c>
      <c r="N19" s="380">
        <v>0</v>
      </c>
      <c r="O19" s="770">
        <f>ROUND((42000*(N19+N20)/2),3)</f>
        <v>0</v>
      </c>
      <c r="P19" s="773">
        <f>ROUND((P17+O19/14000),4)</f>
        <v>0</v>
      </c>
      <c r="R19" s="774">
        <v>8</v>
      </c>
      <c r="S19" s="614">
        <v>714</v>
      </c>
      <c r="T19" s="770">
        <f>ROUND((S19+S20),3)</f>
        <v>1449</v>
      </c>
      <c r="U19" s="775">
        <f>ROUND((U17+T19/14000),4)</f>
        <v>0.5031</v>
      </c>
      <c r="V19" s="774">
        <v>8</v>
      </c>
      <c r="W19" s="380">
        <v>0</v>
      </c>
      <c r="X19" s="770">
        <f>ROUND((42000*(W19+W20)/2),3)</f>
        <v>0</v>
      </c>
      <c r="Y19" s="775">
        <f>ROUND((Y17+X19/14000),4)</f>
        <v>0</v>
      </c>
      <c r="Z19" s="385"/>
      <c r="AA19" s="774">
        <v>8</v>
      </c>
      <c r="AB19" s="614">
        <v>42</v>
      </c>
      <c r="AC19" s="770">
        <f>ROUND((AB19+AB20),3)</f>
        <v>92.4</v>
      </c>
      <c r="AD19" s="775">
        <f>ROUND((AD17+AC19/14000),4)</f>
        <v>0.0126</v>
      </c>
      <c r="AE19" s="774">
        <v>8</v>
      </c>
      <c r="AF19" s="614">
        <v>4.2</v>
      </c>
      <c r="AG19" s="770">
        <f>ROUND((AF19+AF20),3)</f>
        <v>4.2</v>
      </c>
      <c r="AH19" s="775">
        <f>ROUND((AH17+AG19/14000),4)</f>
        <v>0.0705</v>
      </c>
      <c r="AJ19" s="776">
        <v>8</v>
      </c>
      <c r="AK19" s="386">
        <v>0.0246</v>
      </c>
      <c r="AL19" s="770">
        <f>ROUND((9600*(AK19+AK20)/2),3)</f>
        <v>273.6</v>
      </c>
      <c r="AM19" s="777">
        <f>ROUND((AM17+AL19/9600),4)</f>
        <v>0.1379</v>
      </c>
      <c r="AN19" s="368"/>
      <c r="AO19" s="776">
        <v>8</v>
      </c>
      <c r="AP19" s="380">
        <v>0</v>
      </c>
      <c r="AQ19" s="770">
        <f>ROUND((14000*(AP19+AP20)/2),3)</f>
        <v>0</v>
      </c>
      <c r="AR19" s="777">
        <f>ROUND((AR17+AQ19/9600),4)</f>
        <v>0</v>
      </c>
      <c r="AS19" s="387"/>
      <c r="AT19" s="776">
        <v>8</v>
      </c>
      <c r="AU19" s="386">
        <v>0.0022</v>
      </c>
      <c r="AV19" s="770">
        <f>ROUND((9600*(AU19+AU20)/2),3)</f>
        <v>30.72</v>
      </c>
      <c r="AW19" s="777">
        <f>ROUND((AW17+AV19/9600),4)</f>
        <v>0.0063</v>
      </c>
      <c r="AX19" s="370"/>
      <c r="AY19" s="774">
        <v>8</v>
      </c>
      <c r="AZ19" s="380">
        <v>0.0022</v>
      </c>
      <c r="BA19" s="770">
        <f>ROUND((9600*(AZ19+AZ20)/2),3)</f>
        <v>13.44</v>
      </c>
      <c r="BB19" s="775">
        <f>ROUND((BB17+BA19/9600),4)</f>
        <v>0.0158</v>
      </c>
      <c r="BD19" s="776">
        <v>8</v>
      </c>
      <c r="BE19" s="386">
        <v>0</v>
      </c>
      <c r="BF19" s="770">
        <f>ROUND((15*(BE19+BE20)/2),3)</f>
        <v>0.006</v>
      </c>
      <c r="BG19" s="777">
        <f>ROUND((BG17+BF19/15),4)</f>
        <v>0.0036</v>
      </c>
      <c r="BH19" s="368"/>
      <c r="BI19" s="774">
        <v>8</v>
      </c>
      <c r="BJ19" s="380">
        <v>0</v>
      </c>
      <c r="BK19" s="770">
        <f>ROUND((15*(BJ19+BJ20)/2),3)</f>
        <v>0</v>
      </c>
      <c r="BL19" s="775">
        <f>ROUND((BL17+BK19/15),4)</f>
        <v>0</v>
      </c>
      <c r="BM19" s="387"/>
      <c r="BN19" s="774">
        <v>8</v>
      </c>
      <c r="BO19" s="386">
        <v>0.0024</v>
      </c>
      <c r="BP19" s="770">
        <f>ROUND((15*(BO19+BO20)/2),3)</f>
        <v>0.03</v>
      </c>
      <c r="BQ19" s="775">
        <f>ROUND((BQ17+BP19/15),4)</f>
        <v>0.0104</v>
      </c>
      <c r="BR19" s="370"/>
      <c r="BS19" s="774">
        <v>8</v>
      </c>
      <c r="BT19" s="380">
        <v>0</v>
      </c>
      <c r="BU19" s="770">
        <f>ROUND((15*(BT19+BT20)/2),3)</f>
        <v>0</v>
      </c>
      <c r="BV19" s="775">
        <f>ROUND((BV17+BU19/15),4)</f>
        <v>0</v>
      </c>
      <c r="BX19" s="776">
        <v>8</v>
      </c>
      <c r="BY19" s="386">
        <v>0.0466</v>
      </c>
      <c r="BZ19" s="770">
        <f>ROUND((9600*(BY19+BY20)/2),3)</f>
        <v>447.36</v>
      </c>
      <c r="CA19" s="777">
        <f>ROUND((CA17+BZ19/9600),4)</f>
        <v>0.2453</v>
      </c>
      <c r="CB19" s="368"/>
      <c r="CC19" s="776">
        <v>8</v>
      </c>
      <c r="CD19" s="380">
        <v>0</v>
      </c>
      <c r="CE19" s="770">
        <f>ROUND((14000*(CD19+CD20)/2),3)</f>
        <v>0</v>
      </c>
      <c r="CF19" s="777">
        <f>ROUND((CF17+CE19/9600),4)</f>
        <v>0</v>
      </c>
      <c r="CG19" s="387"/>
      <c r="CH19" s="776">
        <v>8</v>
      </c>
      <c r="CI19" s="386">
        <v>0.011</v>
      </c>
      <c r="CJ19" s="770">
        <f>ROUND((9600*(CI19+CI20)/2),3)</f>
        <v>106.56</v>
      </c>
      <c r="CK19" s="777">
        <f>ROUND((CK17+CJ19/9600),4)</f>
        <v>0.0686</v>
      </c>
      <c r="CL19" s="370"/>
      <c r="CM19" s="774">
        <v>8</v>
      </c>
      <c r="CN19" s="380">
        <v>0</v>
      </c>
      <c r="CO19" s="770">
        <f>ROUND((9600*(CN19+CN20)/2),3)</f>
        <v>0</v>
      </c>
      <c r="CP19" s="775">
        <f>ROUND((CP17+CO19/9600),4)</f>
        <v>0</v>
      </c>
      <c r="CQ19" s="370"/>
      <c r="CR19" s="776">
        <v>8</v>
      </c>
      <c r="CS19" s="380">
        <v>0.0072</v>
      </c>
      <c r="CT19" s="770">
        <f>ROUND((15*(CS19+CS20)/2),3)</f>
        <v>0.102</v>
      </c>
      <c r="CU19" s="777">
        <f>ROUND((CU17+CT19/15),4)</f>
        <v>0.0396</v>
      </c>
      <c r="CV19" s="368"/>
      <c r="CW19" s="774">
        <v>8</v>
      </c>
      <c r="CX19" s="380">
        <v>0</v>
      </c>
      <c r="CY19" s="770">
        <f>ROUND((15*(CX19+CX20)/2),3)</f>
        <v>0</v>
      </c>
      <c r="CZ19" s="775">
        <f>ROUND((CZ17+CY19/15),4)</f>
        <v>0</v>
      </c>
      <c r="DA19" s="387"/>
      <c r="DB19" s="774">
        <v>8</v>
      </c>
      <c r="DC19" s="380">
        <v>0.0056</v>
      </c>
      <c r="DD19" s="770">
        <f>ROUND((15*(DC19+DC20)/2),3)</f>
        <v>0.084</v>
      </c>
      <c r="DE19" s="775">
        <f>ROUND((DE17+DD19/15),4)</f>
        <v>0.0348</v>
      </c>
      <c r="DF19" s="370"/>
      <c r="DG19" s="774">
        <v>8</v>
      </c>
      <c r="DH19" s="380">
        <v>0</v>
      </c>
      <c r="DI19" s="770">
        <f>ROUND((15*(DH19+DH20)/2),3)</f>
        <v>0</v>
      </c>
      <c r="DJ19" s="775">
        <f>ROUND((DJ17+DI19/15),4)</f>
        <v>0</v>
      </c>
    </row>
    <row r="20" spans="1:114" ht="12.75">
      <c r="A20" s="769"/>
      <c r="B20" s="380">
        <v>1100.4</v>
      </c>
      <c r="C20" s="770"/>
      <c r="D20" s="771"/>
      <c r="E20" s="772"/>
      <c r="F20" s="380">
        <v>0</v>
      </c>
      <c r="G20" s="770"/>
      <c r="H20" s="773"/>
      <c r="I20" s="774"/>
      <c r="J20" s="380">
        <v>214.2</v>
      </c>
      <c r="K20" s="770"/>
      <c r="L20" s="773"/>
      <c r="M20" s="774"/>
      <c r="N20" s="380">
        <v>0</v>
      </c>
      <c r="O20" s="770"/>
      <c r="P20" s="773"/>
      <c r="R20" s="774"/>
      <c r="S20" s="614">
        <v>735</v>
      </c>
      <c r="T20" s="770"/>
      <c r="U20" s="775"/>
      <c r="V20" s="774"/>
      <c r="W20" s="380">
        <v>0</v>
      </c>
      <c r="X20" s="770"/>
      <c r="Y20" s="775"/>
      <c r="Z20" s="385"/>
      <c r="AA20" s="774"/>
      <c r="AB20" s="614">
        <v>50.4</v>
      </c>
      <c r="AC20" s="770"/>
      <c r="AD20" s="775"/>
      <c r="AE20" s="774"/>
      <c r="AF20" s="614">
        <v>0</v>
      </c>
      <c r="AG20" s="770"/>
      <c r="AH20" s="775"/>
      <c r="AJ20" s="776"/>
      <c r="AK20" s="386">
        <v>0.0324</v>
      </c>
      <c r="AL20" s="770"/>
      <c r="AM20" s="777"/>
      <c r="AN20" s="368"/>
      <c r="AO20" s="776"/>
      <c r="AP20" s="380">
        <v>0</v>
      </c>
      <c r="AQ20" s="770"/>
      <c r="AR20" s="777"/>
      <c r="AS20" s="387"/>
      <c r="AT20" s="776"/>
      <c r="AU20" s="386">
        <v>0.0042</v>
      </c>
      <c r="AV20" s="770"/>
      <c r="AW20" s="777"/>
      <c r="AX20" s="370"/>
      <c r="AY20" s="774"/>
      <c r="AZ20" s="380">
        <v>0.0006</v>
      </c>
      <c r="BA20" s="770"/>
      <c r="BB20" s="775"/>
      <c r="BD20" s="776"/>
      <c r="BE20" s="386">
        <v>0.0008</v>
      </c>
      <c r="BF20" s="770"/>
      <c r="BG20" s="777"/>
      <c r="BH20" s="368"/>
      <c r="BI20" s="774"/>
      <c r="BJ20" s="380">
        <v>0</v>
      </c>
      <c r="BK20" s="770"/>
      <c r="BL20" s="775"/>
      <c r="BM20" s="387"/>
      <c r="BN20" s="774"/>
      <c r="BO20" s="386">
        <v>0.0016</v>
      </c>
      <c r="BP20" s="770"/>
      <c r="BQ20" s="775"/>
      <c r="BR20" s="370"/>
      <c r="BS20" s="774"/>
      <c r="BT20" s="380">
        <v>0</v>
      </c>
      <c r="BU20" s="770"/>
      <c r="BV20" s="775"/>
      <c r="BX20" s="776"/>
      <c r="BY20" s="386">
        <v>0.0466</v>
      </c>
      <c r="BZ20" s="770"/>
      <c r="CA20" s="777"/>
      <c r="CB20" s="368"/>
      <c r="CC20" s="776"/>
      <c r="CD20" s="380">
        <v>0</v>
      </c>
      <c r="CE20" s="770"/>
      <c r="CF20" s="777"/>
      <c r="CG20" s="387"/>
      <c r="CH20" s="776"/>
      <c r="CI20" s="386">
        <v>0.0112</v>
      </c>
      <c r="CJ20" s="770"/>
      <c r="CK20" s="777"/>
      <c r="CL20" s="370"/>
      <c r="CM20" s="774"/>
      <c r="CN20" s="380">
        <v>0</v>
      </c>
      <c r="CO20" s="770"/>
      <c r="CP20" s="775"/>
      <c r="CQ20" s="370"/>
      <c r="CR20" s="776"/>
      <c r="CS20" s="380">
        <v>0.0064</v>
      </c>
      <c r="CT20" s="770"/>
      <c r="CU20" s="777"/>
      <c r="CV20" s="368"/>
      <c r="CW20" s="774"/>
      <c r="CX20" s="380">
        <v>0</v>
      </c>
      <c r="CY20" s="770"/>
      <c r="CZ20" s="775"/>
      <c r="DA20" s="387"/>
      <c r="DB20" s="774"/>
      <c r="DC20" s="380">
        <v>0.0056</v>
      </c>
      <c r="DD20" s="770"/>
      <c r="DE20" s="775"/>
      <c r="DF20" s="370"/>
      <c r="DG20" s="774"/>
      <c r="DH20" s="380">
        <v>0</v>
      </c>
      <c r="DI20" s="770"/>
      <c r="DJ20" s="775"/>
    </row>
    <row r="21" spans="1:114" ht="12.75">
      <c r="A21" s="769">
        <v>9</v>
      </c>
      <c r="B21" s="380">
        <v>1159.2</v>
      </c>
      <c r="C21" s="770">
        <f>ROUND(B21+B22,3)</f>
        <v>2335.2</v>
      </c>
      <c r="D21" s="771">
        <f>ROUND((D19+C21/14000),4)</f>
        <v>0.897</v>
      </c>
      <c r="E21" s="772">
        <v>9</v>
      </c>
      <c r="F21" s="380">
        <v>0</v>
      </c>
      <c r="G21" s="770">
        <f>ROUND((42000*(F21+F22)/2),3)</f>
        <v>0</v>
      </c>
      <c r="H21" s="773">
        <f>ROUND((H19+G21/14000),4)</f>
        <v>0</v>
      </c>
      <c r="I21" s="774">
        <v>9</v>
      </c>
      <c r="J21" s="380">
        <v>235.2</v>
      </c>
      <c r="K21" s="770">
        <f>ROUND((J21+J22),3)</f>
        <v>478.8</v>
      </c>
      <c r="L21" s="773">
        <f>ROUND((L19+K21/14000),4)</f>
        <v>0.1992</v>
      </c>
      <c r="M21" s="774">
        <v>9</v>
      </c>
      <c r="N21" s="380">
        <v>0</v>
      </c>
      <c r="O21" s="770">
        <f>ROUND((42000*(N21+N22)/2),3)</f>
        <v>0</v>
      </c>
      <c r="P21" s="773">
        <f>ROUND((P19+O21/14000),4)</f>
        <v>0</v>
      </c>
      <c r="R21" s="774">
        <v>9</v>
      </c>
      <c r="S21" s="614">
        <v>789.6</v>
      </c>
      <c r="T21" s="770">
        <f>ROUND((S21+S22),3)</f>
        <v>1612.8</v>
      </c>
      <c r="U21" s="775">
        <f>ROUND((U19+T21/14000),4)</f>
        <v>0.6183</v>
      </c>
      <c r="V21" s="774">
        <v>9</v>
      </c>
      <c r="W21" s="380">
        <v>0</v>
      </c>
      <c r="X21" s="770">
        <f>ROUND((42000*(W21+W22)/2),3)</f>
        <v>0</v>
      </c>
      <c r="Y21" s="775">
        <f>ROUND((Y19+X21/14000),4)</f>
        <v>0</v>
      </c>
      <c r="Z21" s="385"/>
      <c r="AA21" s="774">
        <v>9</v>
      </c>
      <c r="AB21" s="614">
        <v>58.8</v>
      </c>
      <c r="AC21" s="770">
        <f>ROUND((AB21+AB22),3)</f>
        <v>121.8</v>
      </c>
      <c r="AD21" s="775">
        <f>ROUND((AD19+AC21/14000),4)</f>
        <v>0.0213</v>
      </c>
      <c r="AE21" s="774">
        <v>9</v>
      </c>
      <c r="AF21" s="614">
        <v>0</v>
      </c>
      <c r="AG21" s="770">
        <f>ROUND((AF21+AF22),3)</f>
        <v>0</v>
      </c>
      <c r="AH21" s="775">
        <f>ROUND((AH19+AG21/14000),4)</f>
        <v>0.0705</v>
      </c>
      <c r="AJ21" s="776">
        <v>9</v>
      </c>
      <c r="AK21" s="386">
        <v>0.037</v>
      </c>
      <c r="AL21" s="770">
        <f>ROUND((9600*(AK21+AK22)/2),3)</f>
        <v>319.68</v>
      </c>
      <c r="AM21" s="777">
        <f>ROUND((AM19+AL21/9600),4)</f>
        <v>0.1712</v>
      </c>
      <c r="AN21" s="368"/>
      <c r="AO21" s="776">
        <v>9</v>
      </c>
      <c r="AP21" s="380">
        <v>0</v>
      </c>
      <c r="AQ21" s="770">
        <f>ROUND((14000*(AP21+AP22)/2),3)</f>
        <v>0</v>
      </c>
      <c r="AR21" s="777">
        <f>ROUND((AR19+AQ21/9600),4)</f>
        <v>0</v>
      </c>
      <c r="AS21" s="387"/>
      <c r="AT21" s="776">
        <v>9</v>
      </c>
      <c r="AU21" s="386">
        <v>0.0078</v>
      </c>
      <c r="AV21" s="770">
        <f>ROUND((9600*(AU21+AU22)/2),3)</f>
        <v>70.08</v>
      </c>
      <c r="AW21" s="777">
        <f>ROUND((AW19+AV21/9600),4)</f>
        <v>0.0136</v>
      </c>
      <c r="AX21" s="370"/>
      <c r="AY21" s="774">
        <v>9</v>
      </c>
      <c r="AZ21" s="380">
        <v>0</v>
      </c>
      <c r="BA21" s="770">
        <f>ROUND((9600*(AZ21+AZ22)/2),3)</f>
        <v>0.96</v>
      </c>
      <c r="BB21" s="775">
        <f>ROUND((BB19+BA21/9600),4)</f>
        <v>0.0159</v>
      </c>
      <c r="BD21" s="776">
        <v>9</v>
      </c>
      <c r="BE21" s="389">
        <v>0.0008</v>
      </c>
      <c r="BF21" s="770">
        <f>ROUND((15*(BE21+BE22)/2),3)</f>
        <v>0.012</v>
      </c>
      <c r="BG21" s="777">
        <f>ROUND((BG19+BF21/15),4)</f>
        <v>0.0044</v>
      </c>
      <c r="BH21" s="368"/>
      <c r="BI21" s="774">
        <v>9</v>
      </c>
      <c r="BJ21" s="380">
        <v>0</v>
      </c>
      <c r="BK21" s="770">
        <f>ROUND((15*(BJ21+BJ22)/2),3)</f>
        <v>0</v>
      </c>
      <c r="BL21" s="775">
        <f>ROUND((BL19+BK21/15),4)</f>
        <v>0</v>
      </c>
      <c r="BM21" s="387"/>
      <c r="BN21" s="774">
        <v>9</v>
      </c>
      <c r="BO21" s="386">
        <v>0.0016</v>
      </c>
      <c r="BP21" s="770">
        <f>ROUND((15*(BO21+BO22)/2),3)</f>
        <v>0.024</v>
      </c>
      <c r="BQ21" s="775">
        <f>ROUND((BQ19+BP21/15),4)</f>
        <v>0.012</v>
      </c>
      <c r="BR21" s="370"/>
      <c r="BS21" s="774">
        <v>9</v>
      </c>
      <c r="BT21" s="380">
        <v>0</v>
      </c>
      <c r="BU21" s="770">
        <f>ROUND((15*(BT21+BT22)/2),3)</f>
        <v>0</v>
      </c>
      <c r="BV21" s="775">
        <f>ROUND((BV19+BU21/15),4)</f>
        <v>0</v>
      </c>
      <c r="BX21" s="776">
        <v>9</v>
      </c>
      <c r="BY21" s="386">
        <v>0.0474</v>
      </c>
      <c r="BZ21" s="770">
        <f>ROUND((9600*(BY21+BY22)/2),3)</f>
        <v>466.56</v>
      </c>
      <c r="CA21" s="777">
        <f>ROUND((CA19+BZ21/9600),4)</f>
        <v>0.2939</v>
      </c>
      <c r="CB21" s="368"/>
      <c r="CC21" s="776">
        <v>9</v>
      </c>
      <c r="CD21" s="380">
        <v>0</v>
      </c>
      <c r="CE21" s="770">
        <f>ROUND((14000*(CD21+CD22)/2),3)</f>
        <v>0</v>
      </c>
      <c r="CF21" s="777">
        <f>ROUND((CF19+CE21/9600),4)</f>
        <v>0</v>
      </c>
      <c r="CG21" s="387"/>
      <c r="CH21" s="776">
        <v>9</v>
      </c>
      <c r="CI21" s="386">
        <v>0.0136</v>
      </c>
      <c r="CJ21" s="770">
        <f>ROUND((9600*(CI21+CI22)/2),3)</f>
        <v>131.52</v>
      </c>
      <c r="CK21" s="777">
        <f>ROUND((CK19+CJ21/9600),4)</f>
        <v>0.0823</v>
      </c>
      <c r="CL21" s="370"/>
      <c r="CM21" s="774">
        <v>9</v>
      </c>
      <c r="CN21" s="380">
        <v>0</v>
      </c>
      <c r="CO21" s="770">
        <f>ROUND((9600*(CN21+CN22)/2),3)</f>
        <v>0</v>
      </c>
      <c r="CP21" s="775">
        <f>ROUND((CP19+CO21/9600),4)</f>
        <v>0</v>
      </c>
      <c r="CQ21" s="370"/>
      <c r="CR21" s="776">
        <v>9</v>
      </c>
      <c r="CS21" s="380">
        <v>0.0064</v>
      </c>
      <c r="CT21" s="770">
        <f>ROUND((15*(CS21+CS22)/2),3)</f>
        <v>0.096</v>
      </c>
      <c r="CU21" s="777">
        <f>ROUND((CU19+CT21/15),4)</f>
        <v>0.046</v>
      </c>
      <c r="CV21" s="368"/>
      <c r="CW21" s="774">
        <v>9</v>
      </c>
      <c r="CX21" s="380">
        <v>0</v>
      </c>
      <c r="CY21" s="770">
        <f>ROUND((15*(CX21+CX22)/2),3)</f>
        <v>0</v>
      </c>
      <c r="CZ21" s="775">
        <f>ROUND((CZ19+CY21/15),4)</f>
        <v>0</v>
      </c>
      <c r="DA21" s="387"/>
      <c r="DB21" s="774">
        <v>9</v>
      </c>
      <c r="DC21" s="380">
        <v>0.0056</v>
      </c>
      <c r="DD21" s="770">
        <f>ROUND((15*(DC21+DC22)/2),3)</f>
        <v>0.09</v>
      </c>
      <c r="DE21" s="775">
        <f>ROUND((DE19+DD21/15),4)</f>
        <v>0.0408</v>
      </c>
      <c r="DF21" s="370"/>
      <c r="DG21" s="774">
        <v>9</v>
      </c>
      <c r="DH21" s="380">
        <v>0</v>
      </c>
      <c r="DI21" s="770">
        <f>ROUND((15*(DH21+DH22)/2),3)</f>
        <v>0</v>
      </c>
      <c r="DJ21" s="775">
        <f>ROUND((DJ19+DI21/15),4)</f>
        <v>0</v>
      </c>
    </row>
    <row r="22" spans="1:114" ht="12.75">
      <c r="A22" s="769"/>
      <c r="B22" s="380">
        <v>1176</v>
      </c>
      <c r="C22" s="770"/>
      <c r="D22" s="771"/>
      <c r="E22" s="772"/>
      <c r="F22" s="380">
        <v>0</v>
      </c>
      <c r="G22" s="770"/>
      <c r="H22" s="773"/>
      <c r="I22" s="774"/>
      <c r="J22" s="380">
        <v>243.6</v>
      </c>
      <c r="K22" s="770"/>
      <c r="L22" s="773"/>
      <c r="M22" s="774"/>
      <c r="N22" s="380">
        <v>0</v>
      </c>
      <c r="O22" s="770"/>
      <c r="P22" s="773"/>
      <c r="R22" s="774"/>
      <c r="S22" s="614">
        <v>823.2</v>
      </c>
      <c r="T22" s="770"/>
      <c r="U22" s="775"/>
      <c r="V22" s="774"/>
      <c r="W22" s="380">
        <v>0</v>
      </c>
      <c r="X22" s="770"/>
      <c r="Y22" s="775"/>
      <c r="Z22" s="385"/>
      <c r="AA22" s="774"/>
      <c r="AB22" s="614">
        <v>63</v>
      </c>
      <c r="AC22" s="770"/>
      <c r="AD22" s="775"/>
      <c r="AE22" s="774"/>
      <c r="AF22" s="614">
        <v>0</v>
      </c>
      <c r="AG22" s="770"/>
      <c r="AH22" s="775"/>
      <c r="AJ22" s="776"/>
      <c r="AK22" s="386">
        <v>0.0296</v>
      </c>
      <c r="AL22" s="770"/>
      <c r="AM22" s="777"/>
      <c r="AN22" s="368"/>
      <c r="AO22" s="776"/>
      <c r="AP22" s="380">
        <v>0</v>
      </c>
      <c r="AQ22" s="770"/>
      <c r="AR22" s="777"/>
      <c r="AS22" s="387"/>
      <c r="AT22" s="776"/>
      <c r="AU22" s="386">
        <v>0.0068</v>
      </c>
      <c r="AV22" s="770"/>
      <c r="AW22" s="777"/>
      <c r="AX22" s="370"/>
      <c r="AY22" s="774"/>
      <c r="AZ22" s="380">
        <v>0.0002</v>
      </c>
      <c r="BA22" s="770"/>
      <c r="BB22" s="775"/>
      <c r="BD22" s="776"/>
      <c r="BE22" s="386">
        <v>0.0008</v>
      </c>
      <c r="BF22" s="770"/>
      <c r="BG22" s="777"/>
      <c r="BH22" s="368"/>
      <c r="BI22" s="774"/>
      <c r="BJ22" s="380">
        <v>0</v>
      </c>
      <c r="BK22" s="770"/>
      <c r="BL22" s="775"/>
      <c r="BM22" s="387"/>
      <c r="BN22" s="774"/>
      <c r="BO22" s="386">
        <v>0.0016</v>
      </c>
      <c r="BP22" s="770"/>
      <c r="BQ22" s="775"/>
      <c r="BR22" s="370"/>
      <c r="BS22" s="774"/>
      <c r="BT22" s="380">
        <v>0</v>
      </c>
      <c r="BU22" s="770"/>
      <c r="BV22" s="775"/>
      <c r="BX22" s="776"/>
      <c r="BY22" s="386">
        <v>0.0498</v>
      </c>
      <c r="BZ22" s="770"/>
      <c r="CA22" s="777"/>
      <c r="CB22" s="368"/>
      <c r="CC22" s="776"/>
      <c r="CD22" s="380">
        <v>0</v>
      </c>
      <c r="CE22" s="770"/>
      <c r="CF22" s="777"/>
      <c r="CG22" s="387"/>
      <c r="CH22" s="776"/>
      <c r="CI22" s="386">
        <v>0.0138</v>
      </c>
      <c r="CJ22" s="770"/>
      <c r="CK22" s="777"/>
      <c r="CL22" s="370"/>
      <c r="CM22" s="774"/>
      <c r="CN22" s="380">
        <v>0</v>
      </c>
      <c r="CO22" s="770"/>
      <c r="CP22" s="775"/>
      <c r="CQ22" s="370"/>
      <c r="CR22" s="776"/>
      <c r="CS22" s="380">
        <v>0.0064</v>
      </c>
      <c r="CT22" s="770"/>
      <c r="CU22" s="777"/>
      <c r="CV22" s="368"/>
      <c r="CW22" s="774"/>
      <c r="CX22" s="380">
        <v>0</v>
      </c>
      <c r="CY22" s="770"/>
      <c r="CZ22" s="775"/>
      <c r="DA22" s="387"/>
      <c r="DB22" s="774"/>
      <c r="DC22" s="380">
        <v>0.0064</v>
      </c>
      <c r="DD22" s="770"/>
      <c r="DE22" s="775"/>
      <c r="DF22" s="370"/>
      <c r="DG22" s="774"/>
      <c r="DH22" s="380">
        <v>0</v>
      </c>
      <c r="DI22" s="770"/>
      <c r="DJ22" s="775"/>
    </row>
    <row r="23" spans="1:114" ht="12.75">
      <c r="A23" s="769">
        <v>10</v>
      </c>
      <c r="B23" s="380">
        <v>1209.6</v>
      </c>
      <c r="C23" s="770">
        <f>ROUND(B23+B24,3)</f>
        <v>2427.6</v>
      </c>
      <c r="D23" s="771">
        <f>ROUND((D21+C23/14000),4)</f>
        <v>1.0704</v>
      </c>
      <c r="E23" s="772">
        <v>10</v>
      </c>
      <c r="F23" s="380">
        <v>0</v>
      </c>
      <c r="G23" s="770">
        <f>ROUND((42000*(F23+F24)/2),3)</f>
        <v>0</v>
      </c>
      <c r="H23" s="773">
        <f>ROUND((H21+G23/14000),4)</f>
        <v>0</v>
      </c>
      <c r="I23" s="774">
        <v>10</v>
      </c>
      <c r="J23" s="380">
        <v>239.4</v>
      </c>
      <c r="K23" s="770">
        <f>ROUND((J23+J24),3)</f>
        <v>491.4</v>
      </c>
      <c r="L23" s="773">
        <f>ROUND((L21+K23/14000),4)</f>
        <v>0.2343</v>
      </c>
      <c r="M23" s="774">
        <v>10</v>
      </c>
      <c r="N23" s="380">
        <v>0</v>
      </c>
      <c r="O23" s="770">
        <f>ROUND((42000*(N23+N24)/2),3)</f>
        <v>0</v>
      </c>
      <c r="P23" s="773">
        <f>ROUND((P21+O23/14000),4)</f>
        <v>0</v>
      </c>
      <c r="R23" s="774">
        <v>10</v>
      </c>
      <c r="S23" s="614">
        <v>856.8</v>
      </c>
      <c r="T23" s="770">
        <f>ROUND((S23+S24),3)</f>
        <v>1726.2</v>
      </c>
      <c r="U23" s="775">
        <f>ROUND((U21+T23/14000),4)</f>
        <v>0.7416</v>
      </c>
      <c r="V23" s="774">
        <v>10</v>
      </c>
      <c r="W23" s="380">
        <v>0</v>
      </c>
      <c r="X23" s="770">
        <f>ROUND((42000*(W23+W24)/2),3)</f>
        <v>0</v>
      </c>
      <c r="Y23" s="775">
        <f>ROUND((Y21+X23/14000),4)</f>
        <v>0</v>
      </c>
      <c r="Z23" s="385"/>
      <c r="AA23" s="774">
        <v>10</v>
      </c>
      <c r="AB23" s="614">
        <v>67.2</v>
      </c>
      <c r="AC23" s="770">
        <f>ROUND((AB23+AB24),3)</f>
        <v>142.8</v>
      </c>
      <c r="AD23" s="775">
        <f>ROUND((AD21+AC23/14000),4)</f>
        <v>0.0315</v>
      </c>
      <c r="AE23" s="774">
        <v>10</v>
      </c>
      <c r="AF23" s="614">
        <v>0</v>
      </c>
      <c r="AG23" s="770">
        <f>ROUND((AF23+AF24),3)</f>
        <v>0</v>
      </c>
      <c r="AH23" s="775">
        <f>ROUND((AH21+AG23/14000),4)</f>
        <v>0.0705</v>
      </c>
      <c r="AJ23" s="776">
        <v>10</v>
      </c>
      <c r="AK23" s="386">
        <v>0.0346</v>
      </c>
      <c r="AL23" s="770">
        <f>ROUND((9600*(AK23+AK24)/2),3)</f>
        <v>349.44</v>
      </c>
      <c r="AM23" s="777">
        <f>ROUND((AM21+AL23/9600),4)</f>
        <v>0.2076</v>
      </c>
      <c r="AN23" s="368"/>
      <c r="AO23" s="776">
        <v>10</v>
      </c>
      <c r="AP23" s="380">
        <v>0</v>
      </c>
      <c r="AQ23" s="770">
        <f>ROUND((14000*(AP23+AP24)/2),3)</f>
        <v>0</v>
      </c>
      <c r="AR23" s="777">
        <f>ROUND((AR21+AQ23/9600),4)</f>
        <v>0</v>
      </c>
      <c r="AS23" s="387"/>
      <c r="AT23" s="776">
        <v>10</v>
      </c>
      <c r="AU23" s="386">
        <v>0.0072</v>
      </c>
      <c r="AV23" s="770">
        <f>ROUND((9600*(AU23+AU24)/2),3)</f>
        <v>79.68</v>
      </c>
      <c r="AW23" s="777">
        <f>ROUND((AW21+AV23/9600),4)</f>
        <v>0.0219</v>
      </c>
      <c r="AX23" s="370"/>
      <c r="AY23" s="774">
        <v>10</v>
      </c>
      <c r="AZ23" s="380">
        <v>0</v>
      </c>
      <c r="BA23" s="770">
        <f>ROUND((9600*(AZ23+AZ24)/2),3)</f>
        <v>0</v>
      </c>
      <c r="BB23" s="775">
        <f>ROUND((BB21+BA23/9600),4)</f>
        <v>0.0159</v>
      </c>
      <c r="BD23" s="776">
        <v>10</v>
      </c>
      <c r="BE23" s="386">
        <v>0</v>
      </c>
      <c r="BF23" s="770">
        <f>ROUND((15*(BE23+BE24)/2),3)</f>
        <v>0.006</v>
      </c>
      <c r="BG23" s="777">
        <f>ROUND((BG21+BF23/15),4)</f>
        <v>0.0048</v>
      </c>
      <c r="BH23" s="368"/>
      <c r="BI23" s="774">
        <v>10</v>
      </c>
      <c r="BJ23" s="380">
        <v>0</v>
      </c>
      <c r="BK23" s="770">
        <f>ROUND((15*(BJ23+BJ24)/2),3)</f>
        <v>0</v>
      </c>
      <c r="BL23" s="775">
        <f>ROUND((BL21+BK23/15),4)</f>
        <v>0</v>
      </c>
      <c r="BM23" s="387"/>
      <c r="BN23" s="774">
        <v>10</v>
      </c>
      <c r="BO23" s="386">
        <v>0.0016</v>
      </c>
      <c r="BP23" s="770">
        <f>ROUND((15*(BO23+BO24)/2),3)</f>
        <v>0.024</v>
      </c>
      <c r="BQ23" s="775">
        <f>ROUND((BQ21+BP23/15),4)</f>
        <v>0.0136</v>
      </c>
      <c r="BR23" s="370"/>
      <c r="BS23" s="774">
        <v>10</v>
      </c>
      <c r="BT23" s="380">
        <v>0</v>
      </c>
      <c r="BU23" s="770">
        <f>ROUND((15*(BT23+BT24)/2),3)</f>
        <v>0</v>
      </c>
      <c r="BV23" s="775">
        <f>ROUND((BV21+BU23/15),4)</f>
        <v>0</v>
      </c>
      <c r="BX23" s="776">
        <v>10</v>
      </c>
      <c r="BY23" s="386">
        <v>0.0482</v>
      </c>
      <c r="BZ23" s="770">
        <f>ROUND((9600*(BY23+BY24)/2),3)</f>
        <v>466.56</v>
      </c>
      <c r="CA23" s="777">
        <f>ROUND((CA21+BZ23/9600),4)</f>
        <v>0.3425</v>
      </c>
      <c r="CB23" s="368"/>
      <c r="CC23" s="776">
        <v>10</v>
      </c>
      <c r="CD23" s="380">
        <v>0</v>
      </c>
      <c r="CE23" s="770">
        <f>ROUND((14000*(CD23+CD24)/2),3)</f>
        <v>0</v>
      </c>
      <c r="CF23" s="777">
        <f>ROUND((CF21+CE23/9600),4)</f>
        <v>0</v>
      </c>
      <c r="CG23" s="387"/>
      <c r="CH23" s="776">
        <v>10</v>
      </c>
      <c r="CI23" s="386">
        <v>0.012</v>
      </c>
      <c r="CJ23" s="770">
        <f>ROUND((9600*(CI23+CI24)/2),3)</f>
        <v>120.96</v>
      </c>
      <c r="CK23" s="777">
        <f>ROUND((CK21+CJ23/9600),4)</f>
        <v>0.0949</v>
      </c>
      <c r="CL23" s="370"/>
      <c r="CM23" s="774">
        <v>10</v>
      </c>
      <c r="CN23" s="380">
        <v>0</v>
      </c>
      <c r="CO23" s="770">
        <f>ROUND((9600*(CN23+CN24)/2),3)</f>
        <v>0</v>
      </c>
      <c r="CP23" s="775">
        <f>ROUND((CP21+CO23/9600),4)</f>
        <v>0</v>
      </c>
      <c r="CQ23" s="370"/>
      <c r="CR23" s="776">
        <v>10</v>
      </c>
      <c r="CS23" s="380">
        <v>0.0064</v>
      </c>
      <c r="CT23" s="770">
        <f>ROUND((15*(CS23+CS24)/2),3)</f>
        <v>0.096</v>
      </c>
      <c r="CU23" s="777">
        <f>ROUND((CU21+CT23/15),4)</f>
        <v>0.0524</v>
      </c>
      <c r="CV23" s="368"/>
      <c r="CW23" s="774">
        <v>10</v>
      </c>
      <c r="CX23" s="380">
        <v>0</v>
      </c>
      <c r="CY23" s="770">
        <f>ROUND((15*(CX23+CX24)/2),3)</f>
        <v>0</v>
      </c>
      <c r="CZ23" s="775">
        <f>ROUND((CZ21+CY23/15),4)</f>
        <v>0</v>
      </c>
      <c r="DA23" s="387"/>
      <c r="DB23" s="774">
        <v>10</v>
      </c>
      <c r="DC23" s="380">
        <v>0.0056</v>
      </c>
      <c r="DD23" s="770">
        <f>ROUND((15*(DC23+DC24)/2),3)</f>
        <v>0.084</v>
      </c>
      <c r="DE23" s="775">
        <f>ROUND((DE21+DD23/15),4)</f>
        <v>0.0464</v>
      </c>
      <c r="DF23" s="370"/>
      <c r="DG23" s="774">
        <v>10</v>
      </c>
      <c r="DH23" s="380">
        <v>0</v>
      </c>
      <c r="DI23" s="770">
        <f>ROUND((15*(DH23+DH24)/2),3)</f>
        <v>0</v>
      </c>
      <c r="DJ23" s="775">
        <f>ROUND((DJ21+DI23/15),4)</f>
        <v>0</v>
      </c>
    </row>
    <row r="24" spans="1:114" ht="12.75">
      <c r="A24" s="769"/>
      <c r="B24" s="380">
        <v>1218</v>
      </c>
      <c r="C24" s="770"/>
      <c r="D24" s="771"/>
      <c r="E24" s="772"/>
      <c r="F24" s="380">
        <v>0</v>
      </c>
      <c r="G24" s="770"/>
      <c r="H24" s="773"/>
      <c r="I24" s="774"/>
      <c r="J24" s="380">
        <v>252</v>
      </c>
      <c r="K24" s="770"/>
      <c r="L24" s="773"/>
      <c r="M24" s="774"/>
      <c r="N24" s="380">
        <v>0</v>
      </c>
      <c r="O24" s="770"/>
      <c r="P24" s="773"/>
      <c r="R24" s="774"/>
      <c r="S24" s="614">
        <v>869.4</v>
      </c>
      <c r="T24" s="770"/>
      <c r="U24" s="775"/>
      <c r="V24" s="774"/>
      <c r="W24" s="380">
        <v>0</v>
      </c>
      <c r="X24" s="770"/>
      <c r="Y24" s="775"/>
      <c r="Z24" s="385"/>
      <c r="AA24" s="774"/>
      <c r="AB24" s="614">
        <v>75.6</v>
      </c>
      <c r="AC24" s="770"/>
      <c r="AD24" s="775"/>
      <c r="AE24" s="774"/>
      <c r="AF24" s="614">
        <v>0</v>
      </c>
      <c r="AG24" s="770"/>
      <c r="AH24" s="775"/>
      <c r="AJ24" s="776"/>
      <c r="AK24" s="386">
        <v>0.0382</v>
      </c>
      <c r="AL24" s="770"/>
      <c r="AM24" s="777"/>
      <c r="AN24" s="368"/>
      <c r="AO24" s="776"/>
      <c r="AP24" s="380">
        <v>0</v>
      </c>
      <c r="AQ24" s="770"/>
      <c r="AR24" s="777"/>
      <c r="AS24" s="387"/>
      <c r="AT24" s="776"/>
      <c r="AU24" s="386">
        <v>0.0094</v>
      </c>
      <c r="AV24" s="770"/>
      <c r="AW24" s="777"/>
      <c r="AX24" s="370"/>
      <c r="AY24" s="774"/>
      <c r="AZ24" s="380">
        <v>0</v>
      </c>
      <c r="BA24" s="770"/>
      <c r="BB24" s="775"/>
      <c r="BD24" s="776"/>
      <c r="BE24" s="386">
        <v>0.0008</v>
      </c>
      <c r="BF24" s="770"/>
      <c r="BG24" s="777"/>
      <c r="BH24" s="368"/>
      <c r="BI24" s="774"/>
      <c r="BJ24" s="380">
        <v>0</v>
      </c>
      <c r="BK24" s="770"/>
      <c r="BL24" s="775"/>
      <c r="BM24" s="387"/>
      <c r="BN24" s="774"/>
      <c r="BO24" s="386">
        <v>0.0016</v>
      </c>
      <c r="BP24" s="770"/>
      <c r="BQ24" s="775"/>
      <c r="BR24" s="370"/>
      <c r="BS24" s="774"/>
      <c r="BT24" s="380">
        <v>0</v>
      </c>
      <c r="BU24" s="770"/>
      <c r="BV24" s="775"/>
      <c r="BX24" s="776"/>
      <c r="BY24" s="386">
        <v>0.049</v>
      </c>
      <c r="BZ24" s="770"/>
      <c r="CA24" s="777"/>
      <c r="CB24" s="368"/>
      <c r="CC24" s="776"/>
      <c r="CD24" s="380">
        <v>0</v>
      </c>
      <c r="CE24" s="770"/>
      <c r="CF24" s="777"/>
      <c r="CG24" s="387"/>
      <c r="CH24" s="776"/>
      <c r="CI24" s="386">
        <v>0.0132</v>
      </c>
      <c r="CJ24" s="770"/>
      <c r="CK24" s="777"/>
      <c r="CL24" s="370"/>
      <c r="CM24" s="774"/>
      <c r="CN24" s="380">
        <v>0</v>
      </c>
      <c r="CO24" s="770"/>
      <c r="CP24" s="775"/>
      <c r="CQ24" s="370"/>
      <c r="CR24" s="776"/>
      <c r="CS24" s="380">
        <v>0.0064</v>
      </c>
      <c r="CT24" s="770"/>
      <c r="CU24" s="777"/>
      <c r="CV24" s="368"/>
      <c r="CW24" s="774"/>
      <c r="CX24" s="380">
        <v>0</v>
      </c>
      <c r="CY24" s="770"/>
      <c r="CZ24" s="775"/>
      <c r="DA24" s="387"/>
      <c r="DB24" s="774"/>
      <c r="DC24" s="380">
        <v>0.0056</v>
      </c>
      <c r="DD24" s="770"/>
      <c r="DE24" s="775"/>
      <c r="DF24" s="370"/>
      <c r="DG24" s="774"/>
      <c r="DH24" s="380">
        <v>0</v>
      </c>
      <c r="DI24" s="770"/>
      <c r="DJ24" s="775"/>
    </row>
    <row r="25" spans="1:114" ht="12.75">
      <c r="A25" s="769">
        <v>11</v>
      </c>
      <c r="B25" s="380">
        <v>1239</v>
      </c>
      <c r="C25" s="770">
        <f>ROUND(B25+B26,3)</f>
        <v>2444.4</v>
      </c>
      <c r="D25" s="771">
        <f>ROUND((D23+C25/14000),4)</f>
        <v>1.245</v>
      </c>
      <c r="E25" s="772">
        <v>11</v>
      </c>
      <c r="F25" s="380">
        <v>0</v>
      </c>
      <c r="G25" s="770">
        <f>ROUND((42000*(F25+F26)/2),3)</f>
        <v>0</v>
      </c>
      <c r="H25" s="773">
        <f>ROUND((H23+G25/14000),4)</f>
        <v>0</v>
      </c>
      <c r="I25" s="774">
        <v>11</v>
      </c>
      <c r="J25" s="380">
        <v>260.4</v>
      </c>
      <c r="K25" s="770">
        <f>ROUND((J25+J26),3)</f>
        <v>525</v>
      </c>
      <c r="L25" s="773">
        <f>ROUND((L23+K25/14000),4)</f>
        <v>0.2718</v>
      </c>
      <c r="M25" s="774">
        <v>11</v>
      </c>
      <c r="N25" s="380">
        <v>0</v>
      </c>
      <c r="O25" s="770">
        <f>ROUND((42000*(N25+N26)/2),3)</f>
        <v>0</v>
      </c>
      <c r="P25" s="773">
        <f>ROUND((P23+O25/14000),4)</f>
        <v>0</v>
      </c>
      <c r="R25" s="774">
        <v>11</v>
      </c>
      <c r="S25" s="614">
        <v>861</v>
      </c>
      <c r="T25" s="770">
        <f>ROUND((S25+S26),3)</f>
        <v>1759.8</v>
      </c>
      <c r="U25" s="775">
        <f>ROUND((U23+T25/14000),4)</f>
        <v>0.8673</v>
      </c>
      <c r="V25" s="774">
        <v>11</v>
      </c>
      <c r="W25" s="380">
        <v>0</v>
      </c>
      <c r="X25" s="770">
        <f>ROUND((42000*(W25+W26)/2),3)</f>
        <v>0</v>
      </c>
      <c r="Y25" s="775">
        <f>ROUND((Y23+X25/14000),4)</f>
        <v>0</v>
      </c>
      <c r="Z25" s="385"/>
      <c r="AA25" s="774">
        <v>11</v>
      </c>
      <c r="AB25" s="614">
        <v>79.8</v>
      </c>
      <c r="AC25" s="770">
        <f>ROUND((AB25+AB26),3)</f>
        <v>159.6</v>
      </c>
      <c r="AD25" s="775">
        <f>ROUND((AD23+AC25/14000),4)</f>
        <v>0.0429</v>
      </c>
      <c r="AE25" s="774">
        <v>11</v>
      </c>
      <c r="AF25" s="614">
        <v>0</v>
      </c>
      <c r="AG25" s="770">
        <f>ROUND((AF25+AF26),3)</f>
        <v>0</v>
      </c>
      <c r="AH25" s="775">
        <f>ROUND((AH23+AG25/14000),4)</f>
        <v>0.0705</v>
      </c>
      <c r="AJ25" s="776">
        <v>11</v>
      </c>
      <c r="AK25" s="386">
        <v>0.0294</v>
      </c>
      <c r="AL25" s="770">
        <f>ROUND((9600*(AK25+AK26)/2),3)</f>
        <v>288</v>
      </c>
      <c r="AM25" s="777">
        <f>ROUND((AM23+AL25/9600),4)</f>
        <v>0.2376</v>
      </c>
      <c r="AN25" s="368"/>
      <c r="AO25" s="776">
        <v>11</v>
      </c>
      <c r="AP25" s="380">
        <v>0</v>
      </c>
      <c r="AQ25" s="770">
        <f>ROUND((14000*(AP25+AP26)/2),3)</f>
        <v>0</v>
      </c>
      <c r="AR25" s="777">
        <f>ROUND((AR23+AQ25/9600),4)</f>
        <v>0</v>
      </c>
      <c r="AS25" s="387"/>
      <c r="AT25" s="776">
        <v>11</v>
      </c>
      <c r="AU25" s="386">
        <v>0.0056</v>
      </c>
      <c r="AV25" s="770">
        <f>ROUND((9600*(AU25+AU26)/2),3)</f>
        <v>48</v>
      </c>
      <c r="AW25" s="777">
        <f>ROUND((AW23+AV25/9600),4)</f>
        <v>0.0269</v>
      </c>
      <c r="AX25" s="370"/>
      <c r="AY25" s="774">
        <v>11</v>
      </c>
      <c r="AZ25" s="380">
        <v>0</v>
      </c>
      <c r="BA25" s="770">
        <f>ROUND((9600*(AZ25+AZ26)/2),3)</f>
        <v>0.96</v>
      </c>
      <c r="BB25" s="775">
        <f>ROUND((BB23+BA25/9600),4)</f>
        <v>0.016</v>
      </c>
      <c r="BD25" s="776">
        <v>11</v>
      </c>
      <c r="BE25" s="389">
        <v>0.0008</v>
      </c>
      <c r="BF25" s="770">
        <f>ROUND((15*(BE25+BE26)/2),3)</f>
        <v>0.012</v>
      </c>
      <c r="BG25" s="777">
        <f>ROUND((BG23+BF25/15),4)</f>
        <v>0.0056</v>
      </c>
      <c r="BH25" s="368"/>
      <c r="BI25" s="774">
        <v>11</v>
      </c>
      <c r="BJ25" s="380">
        <v>0</v>
      </c>
      <c r="BK25" s="770">
        <f>ROUND((15*(BJ25+BJ26)/2),3)</f>
        <v>0</v>
      </c>
      <c r="BL25" s="775">
        <f>ROUND((BL23+BK25/15),4)</f>
        <v>0</v>
      </c>
      <c r="BM25" s="387"/>
      <c r="BN25" s="774">
        <v>11</v>
      </c>
      <c r="BO25" s="386">
        <v>0.0016</v>
      </c>
      <c r="BP25" s="770">
        <f>ROUND((15*(BO25+BO26)/2),3)</f>
        <v>0.024</v>
      </c>
      <c r="BQ25" s="775">
        <f>ROUND((BQ23+BP25/15),4)</f>
        <v>0.0152</v>
      </c>
      <c r="BR25" s="370"/>
      <c r="BS25" s="774">
        <v>11</v>
      </c>
      <c r="BT25" s="380">
        <v>0</v>
      </c>
      <c r="BU25" s="770">
        <f>ROUND((15*(BT25+BT26)/2),3)</f>
        <v>0</v>
      </c>
      <c r="BV25" s="775">
        <f>ROUND((BV23+BU25/15),4)</f>
        <v>0</v>
      </c>
      <c r="BX25" s="776">
        <v>11</v>
      </c>
      <c r="BY25" s="386">
        <v>0.049</v>
      </c>
      <c r="BZ25" s="770">
        <f>ROUND((9600*(BY25+BY26)/2),3)</f>
        <v>456.96</v>
      </c>
      <c r="CA25" s="777">
        <f>ROUND((CA23+BZ25/9600),4)</f>
        <v>0.3901</v>
      </c>
      <c r="CB25" s="368"/>
      <c r="CC25" s="776">
        <v>11</v>
      </c>
      <c r="CD25" s="380">
        <v>0</v>
      </c>
      <c r="CE25" s="770">
        <f>ROUND((14000*(CD25+CD26)/2),3)</f>
        <v>0</v>
      </c>
      <c r="CF25" s="777">
        <f>ROUND((CF23+CE25/9600),4)</f>
        <v>0</v>
      </c>
      <c r="CG25" s="387"/>
      <c r="CH25" s="776">
        <v>11</v>
      </c>
      <c r="CI25" s="386">
        <v>0.0134</v>
      </c>
      <c r="CJ25" s="770">
        <f>ROUND((9600*(CI25+CI26)/2),3)</f>
        <v>128.64</v>
      </c>
      <c r="CK25" s="777">
        <f>ROUND((CK23+CJ25/9600),4)</f>
        <v>0.1083</v>
      </c>
      <c r="CL25" s="370"/>
      <c r="CM25" s="774">
        <v>11</v>
      </c>
      <c r="CN25" s="380">
        <v>0</v>
      </c>
      <c r="CO25" s="770">
        <f>ROUND((9600*(CN25+CN26)/2),3)</f>
        <v>0</v>
      </c>
      <c r="CP25" s="775">
        <f>ROUND((CP23+CO25/9600),4)</f>
        <v>0</v>
      </c>
      <c r="CQ25" s="370"/>
      <c r="CR25" s="776">
        <v>11</v>
      </c>
      <c r="CS25" s="380">
        <v>0.0064</v>
      </c>
      <c r="CT25" s="770">
        <f>ROUND((15*(CS25+CS26)/2),3)</f>
        <v>0.102</v>
      </c>
      <c r="CU25" s="777">
        <f>ROUND((CU23+CT25/15),4)</f>
        <v>0.0592</v>
      </c>
      <c r="CV25" s="368"/>
      <c r="CW25" s="774">
        <v>11</v>
      </c>
      <c r="CX25" s="380">
        <v>0</v>
      </c>
      <c r="CY25" s="770">
        <f>ROUND((15*(CX25+CX26)/2),3)</f>
        <v>0</v>
      </c>
      <c r="CZ25" s="775">
        <f>ROUND((CZ23+CY25/15),4)</f>
        <v>0</v>
      </c>
      <c r="DA25" s="387"/>
      <c r="DB25" s="774">
        <v>11</v>
      </c>
      <c r="DC25" s="380">
        <v>0.0056</v>
      </c>
      <c r="DD25" s="770">
        <f>ROUND((15*(DC25+DC26)/2),3)</f>
        <v>0.084</v>
      </c>
      <c r="DE25" s="775">
        <f>ROUND((DE23+DD25/15),4)</f>
        <v>0.052</v>
      </c>
      <c r="DF25" s="370"/>
      <c r="DG25" s="774">
        <v>11</v>
      </c>
      <c r="DH25" s="380">
        <v>0</v>
      </c>
      <c r="DI25" s="770">
        <f>ROUND((15*(DH25+DH26)/2),3)</f>
        <v>0</v>
      </c>
      <c r="DJ25" s="775">
        <f>ROUND((DJ23+DI25/15),4)</f>
        <v>0</v>
      </c>
    </row>
    <row r="26" spans="1:114" ht="12.75">
      <c r="A26" s="769"/>
      <c r="B26" s="380">
        <v>1205.4</v>
      </c>
      <c r="C26" s="770"/>
      <c r="D26" s="771"/>
      <c r="E26" s="772"/>
      <c r="F26" s="380">
        <v>0</v>
      </c>
      <c r="G26" s="770"/>
      <c r="H26" s="773"/>
      <c r="I26" s="774"/>
      <c r="J26" s="380">
        <v>264.6</v>
      </c>
      <c r="K26" s="770"/>
      <c r="L26" s="773"/>
      <c r="M26" s="774"/>
      <c r="N26" s="380">
        <v>0</v>
      </c>
      <c r="O26" s="770"/>
      <c r="P26" s="773"/>
      <c r="R26" s="774"/>
      <c r="S26" s="614">
        <v>898.8</v>
      </c>
      <c r="T26" s="770"/>
      <c r="U26" s="775"/>
      <c r="V26" s="774"/>
      <c r="W26" s="380">
        <v>0</v>
      </c>
      <c r="X26" s="770"/>
      <c r="Y26" s="775"/>
      <c r="Z26" s="385"/>
      <c r="AA26" s="774"/>
      <c r="AB26" s="614">
        <v>79.8</v>
      </c>
      <c r="AC26" s="770"/>
      <c r="AD26" s="775"/>
      <c r="AE26" s="774"/>
      <c r="AF26" s="614">
        <v>0</v>
      </c>
      <c r="AG26" s="770"/>
      <c r="AH26" s="775"/>
      <c r="AJ26" s="776"/>
      <c r="AK26" s="386">
        <v>0.0306</v>
      </c>
      <c r="AL26" s="770"/>
      <c r="AM26" s="777"/>
      <c r="AN26" s="368"/>
      <c r="AO26" s="776"/>
      <c r="AP26" s="380">
        <v>0</v>
      </c>
      <c r="AQ26" s="770"/>
      <c r="AR26" s="777"/>
      <c r="AS26" s="387"/>
      <c r="AT26" s="776"/>
      <c r="AU26" s="386">
        <v>0.0044</v>
      </c>
      <c r="AV26" s="770"/>
      <c r="AW26" s="777"/>
      <c r="AX26" s="370"/>
      <c r="AY26" s="774"/>
      <c r="AZ26" s="380">
        <v>0.0002</v>
      </c>
      <c r="BA26" s="770"/>
      <c r="BB26" s="775"/>
      <c r="BD26" s="776"/>
      <c r="BE26" s="386">
        <v>0.0008</v>
      </c>
      <c r="BF26" s="770"/>
      <c r="BG26" s="777"/>
      <c r="BH26" s="368"/>
      <c r="BI26" s="774"/>
      <c r="BJ26" s="380">
        <v>0</v>
      </c>
      <c r="BK26" s="770"/>
      <c r="BL26" s="775"/>
      <c r="BM26" s="387"/>
      <c r="BN26" s="774"/>
      <c r="BO26" s="386">
        <v>0.0016</v>
      </c>
      <c r="BP26" s="770"/>
      <c r="BQ26" s="775"/>
      <c r="BR26" s="370"/>
      <c r="BS26" s="774"/>
      <c r="BT26" s="380">
        <v>0</v>
      </c>
      <c r="BU26" s="770"/>
      <c r="BV26" s="775"/>
      <c r="BX26" s="776"/>
      <c r="BY26" s="386">
        <v>0.0462</v>
      </c>
      <c r="BZ26" s="770"/>
      <c r="CA26" s="777"/>
      <c r="CB26" s="368"/>
      <c r="CC26" s="776"/>
      <c r="CD26" s="380">
        <v>0</v>
      </c>
      <c r="CE26" s="770"/>
      <c r="CF26" s="777"/>
      <c r="CG26" s="387"/>
      <c r="CH26" s="776"/>
      <c r="CI26" s="386">
        <v>0.0134</v>
      </c>
      <c r="CJ26" s="770"/>
      <c r="CK26" s="777"/>
      <c r="CL26" s="370"/>
      <c r="CM26" s="774"/>
      <c r="CN26" s="380">
        <v>0</v>
      </c>
      <c r="CO26" s="770"/>
      <c r="CP26" s="775"/>
      <c r="CQ26" s="370"/>
      <c r="CR26" s="776"/>
      <c r="CS26" s="380">
        <v>0.0072</v>
      </c>
      <c r="CT26" s="770"/>
      <c r="CU26" s="777"/>
      <c r="CV26" s="368"/>
      <c r="CW26" s="774"/>
      <c r="CX26" s="380">
        <v>0</v>
      </c>
      <c r="CY26" s="770"/>
      <c r="CZ26" s="775"/>
      <c r="DA26" s="387"/>
      <c r="DB26" s="774"/>
      <c r="DC26" s="380">
        <v>0.0056</v>
      </c>
      <c r="DD26" s="770"/>
      <c r="DE26" s="775"/>
      <c r="DF26" s="370"/>
      <c r="DG26" s="774"/>
      <c r="DH26" s="380">
        <v>0</v>
      </c>
      <c r="DI26" s="770"/>
      <c r="DJ26" s="775"/>
    </row>
    <row r="27" spans="1:114" ht="12.75">
      <c r="A27" s="769">
        <v>12</v>
      </c>
      <c r="B27" s="380">
        <v>1234.8</v>
      </c>
      <c r="C27" s="770">
        <f>ROUND(B27+B28,3)</f>
        <v>2461.2</v>
      </c>
      <c r="D27" s="771">
        <f>ROUND((D25+C27/14000),4)</f>
        <v>1.4208</v>
      </c>
      <c r="E27" s="772">
        <v>12</v>
      </c>
      <c r="F27" s="380">
        <v>0</v>
      </c>
      <c r="G27" s="770">
        <f>ROUND((42000*(F27+F28)/2),3)</f>
        <v>0</v>
      </c>
      <c r="H27" s="773">
        <f>ROUND((H25+G27/14000),4)</f>
        <v>0</v>
      </c>
      <c r="I27" s="774">
        <v>12</v>
      </c>
      <c r="J27" s="380">
        <v>252</v>
      </c>
      <c r="K27" s="770">
        <f>ROUND((J27+J28),3)</f>
        <v>508.2</v>
      </c>
      <c r="L27" s="773">
        <f>ROUND((L25+K27/14000),4)</f>
        <v>0.3081</v>
      </c>
      <c r="M27" s="774">
        <v>12</v>
      </c>
      <c r="N27" s="380">
        <v>0</v>
      </c>
      <c r="O27" s="770">
        <f>ROUND((42000*(N27+N28)/2),3)</f>
        <v>0</v>
      </c>
      <c r="P27" s="773">
        <f>ROUND((P25+O27/14000),4)</f>
        <v>0</v>
      </c>
      <c r="R27" s="774">
        <v>12</v>
      </c>
      <c r="S27" s="614">
        <v>949.2</v>
      </c>
      <c r="T27" s="770">
        <f>ROUND((S27+S28),3)</f>
        <v>1919.4</v>
      </c>
      <c r="U27" s="775">
        <f>ROUND((U25+T27/14000),4)</f>
        <v>1.0044</v>
      </c>
      <c r="V27" s="774">
        <v>12</v>
      </c>
      <c r="W27" s="380">
        <v>0</v>
      </c>
      <c r="X27" s="770">
        <f>ROUND((42000*(W27+W28)/2),3)</f>
        <v>0</v>
      </c>
      <c r="Y27" s="775">
        <f>ROUND((Y25+X27/14000),4)</f>
        <v>0</v>
      </c>
      <c r="Z27" s="385"/>
      <c r="AA27" s="774">
        <v>12</v>
      </c>
      <c r="AB27" s="614">
        <v>79.8</v>
      </c>
      <c r="AC27" s="770">
        <f>ROUND((AB27+AB28),3)</f>
        <v>218.4</v>
      </c>
      <c r="AD27" s="775">
        <f>ROUND((AD25+AC27/14000),4)</f>
        <v>0.0585</v>
      </c>
      <c r="AE27" s="774">
        <v>12</v>
      </c>
      <c r="AF27" s="614">
        <v>0</v>
      </c>
      <c r="AG27" s="770">
        <f>ROUND((AF27+AF28),3)</f>
        <v>0</v>
      </c>
      <c r="AH27" s="775">
        <f>ROUND((AH25+AG27/14000),4)</f>
        <v>0.0705</v>
      </c>
      <c r="AJ27" s="776">
        <v>12</v>
      </c>
      <c r="AK27" s="386">
        <v>0.038</v>
      </c>
      <c r="AL27" s="770">
        <f>ROUND((9600*(AK27+AK28)/2),3)</f>
        <v>336</v>
      </c>
      <c r="AM27" s="777">
        <f>ROUND((AM25+AL27/9600),4)</f>
        <v>0.2726</v>
      </c>
      <c r="AN27" s="368"/>
      <c r="AO27" s="776">
        <v>12</v>
      </c>
      <c r="AP27" s="380">
        <v>0</v>
      </c>
      <c r="AQ27" s="770">
        <f>ROUND((14000*(AP27+AP28)/2),3)</f>
        <v>0</v>
      </c>
      <c r="AR27" s="777">
        <f>ROUND((AR25+AQ27/9600),4)</f>
        <v>0</v>
      </c>
      <c r="AS27" s="387"/>
      <c r="AT27" s="776">
        <v>12</v>
      </c>
      <c r="AU27" s="386">
        <v>0.0064</v>
      </c>
      <c r="AV27" s="770">
        <f>ROUND((9600*(AU27+AU28)/2),3)</f>
        <v>58.56</v>
      </c>
      <c r="AW27" s="777">
        <f>ROUND((AW25+AV27/9600),4)</f>
        <v>0.033</v>
      </c>
      <c r="AX27" s="370"/>
      <c r="AY27" s="774">
        <v>12</v>
      </c>
      <c r="AZ27" s="380">
        <v>0</v>
      </c>
      <c r="BA27" s="770">
        <f>ROUND((9600*(AZ27+AZ28)/2),3)</f>
        <v>0.96</v>
      </c>
      <c r="BB27" s="775">
        <f>ROUND((BB25+BA27/9600),4)</f>
        <v>0.0161</v>
      </c>
      <c r="BD27" s="776">
        <v>12</v>
      </c>
      <c r="BE27" s="386">
        <v>0</v>
      </c>
      <c r="BF27" s="770">
        <f>ROUND((15*(BE27+BE28)/2),3)</f>
        <v>0.006</v>
      </c>
      <c r="BG27" s="777">
        <f>ROUND((BG25+BF27/15),4)</f>
        <v>0.006</v>
      </c>
      <c r="BH27" s="368"/>
      <c r="BI27" s="774">
        <v>12</v>
      </c>
      <c r="BJ27" s="380">
        <v>0</v>
      </c>
      <c r="BK27" s="770">
        <f>ROUND((15*(BJ27+BJ28)/2),3)</f>
        <v>0</v>
      </c>
      <c r="BL27" s="775">
        <f>ROUND((BL25+BK27/15),4)</f>
        <v>0</v>
      </c>
      <c r="BM27" s="387"/>
      <c r="BN27" s="774">
        <v>12</v>
      </c>
      <c r="BO27" s="386">
        <v>0.0016</v>
      </c>
      <c r="BP27" s="770">
        <f>ROUND((15*(BO27+BO28)/2),3)</f>
        <v>0.03</v>
      </c>
      <c r="BQ27" s="775">
        <f>ROUND((BQ25+BP27/15),4)</f>
        <v>0.0172</v>
      </c>
      <c r="BR27" s="370"/>
      <c r="BS27" s="774">
        <v>12</v>
      </c>
      <c r="BT27" s="380">
        <v>0</v>
      </c>
      <c r="BU27" s="770">
        <f>ROUND((15*(BT27+BT28)/2),3)</f>
        <v>0</v>
      </c>
      <c r="BV27" s="775">
        <f>ROUND((BV25+BU27/15),4)</f>
        <v>0</v>
      </c>
      <c r="BX27" s="776">
        <v>12</v>
      </c>
      <c r="BY27" s="386">
        <v>0.0476</v>
      </c>
      <c r="BZ27" s="770">
        <f>ROUND((9600*(BY27+BY28)/2),3)</f>
        <v>454.08</v>
      </c>
      <c r="CA27" s="777">
        <f>ROUND((CA25+BZ27/9600),4)</f>
        <v>0.4374</v>
      </c>
      <c r="CB27" s="368"/>
      <c r="CC27" s="776">
        <v>12</v>
      </c>
      <c r="CD27" s="380">
        <v>0</v>
      </c>
      <c r="CE27" s="770">
        <f>ROUND((14000*(CD27+CD28)/2),3)</f>
        <v>0</v>
      </c>
      <c r="CF27" s="777">
        <f>ROUND((CF25+CE27/9600),4)</f>
        <v>0</v>
      </c>
      <c r="CG27" s="387"/>
      <c r="CH27" s="776">
        <v>12</v>
      </c>
      <c r="CI27" s="386">
        <v>0.0134</v>
      </c>
      <c r="CJ27" s="770">
        <f>ROUND((9600*(CI27+CI28)/2),3)</f>
        <v>123.84</v>
      </c>
      <c r="CK27" s="777">
        <f>ROUND((CK25+CJ27/9600),4)</f>
        <v>0.1212</v>
      </c>
      <c r="CL27" s="370"/>
      <c r="CM27" s="774">
        <v>12</v>
      </c>
      <c r="CN27" s="380">
        <v>0</v>
      </c>
      <c r="CO27" s="770">
        <f>ROUND((9600*(CN27+CN28)/2),3)</f>
        <v>0</v>
      </c>
      <c r="CP27" s="775">
        <f>ROUND((CP25+CO27/9600),4)</f>
        <v>0</v>
      </c>
      <c r="CQ27" s="370"/>
      <c r="CR27" s="776">
        <v>12</v>
      </c>
      <c r="CS27" s="380">
        <v>0.0064</v>
      </c>
      <c r="CT27" s="770">
        <f>ROUND((15*(CS27+CS28)/2),3)</f>
        <v>0.096</v>
      </c>
      <c r="CU27" s="777">
        <f>ROUND((CU25+CT27/15),4)</f>
        <v>0.0656</v>
      </c>
      <c r="CV27" s="368"/>
      <c r="CW27" s="774">
        <v>12</v>
      </c>
      <c r="CX27" s="380">
        <v>0</v>
      </c>
      <c r="CY27" s="770">
        <f>ROUND((15*(CX27+CX28)/2),3)</f>
        <v>0</v>
      </c>
      <c r="CZ27" s="775">
        <f>ROUND((CZ25+CY27/15),4)</f>
        <v>0</v>
      </c>
      <c r="DA27" s="387"/>
      <c r="DB27" s="774">
        <v>12</v>
      </c>
      <c r="DC27" s="380">
        <v>0.0056</v>
      </c>
      <c r="DD27" s="770">
        <f>ROUND((15*(DC27+DC28)/2),3)</f>
        <v>0.084</v>
      </c>
      <c r="DE27" s="775">
        <f>ROUND((DE25+DD27/15),4)</f>
        <v>0.0576</v>
      </c>
      <c r="DF27" s="370"/>
      <c r="DG27" s="774">
        <v>12</v>
      </c>
      <c r="DH27" s="380">
        <v>0</v>
      </c>
      <c r="DI27" s="770">
        <f>ROUND((15*(DH27+DH28)/2),3)</f>
        <v>0</v>
      </c>
      <c r="DJ27" s="775">
        <f>ROUND((DJ25+DI27/15),4)</f>
        <v>0</v>
      </c>
    </row>
    <row r="28" spans="1:114" ht="12.75">
      <c r="A28" s="769"/>
      <c r="B28" s="380">
        <v>1226.4</v>
      </c>
      <c r="C28" s="770"/>
      <c r="D28" s="771"/>
      <c r="E28" s="772"/>
      <c r="F28" s="380">
        <v>0</v>
      </c>
      <c r="G28" s="770"/>
      <c r="H28" s="773"/>
      <c r="I28" s="774"/>
      <c r="J28" s="380">
        <v>256.2</v>
      </c>
      <c r="K28" s="770"/>
      <c r="L28" s="773"/>
      <c r="M28" s="774"/>
      <c r="N28" s="380">
        <v>0</v>
      </c>
      <c r="O28" s="770"/>
      <c r="P28" s="773"/>
      <c r="R28" s="774"/>
      <c r="S28" s="614">
        <v>970.2</v>
      </c>
      <c r="T28" s="770"/>
      <c r="U28" s="775"/>
      <c r="V28" s="774"/>
      <c r="W28" s="380">
        <v>0</v>
      </c>
      <c r="X28" s="770"/>
      <c r="Y28" s="775"/>
      <c r="Z28" s="385"/>
      <c r="AA28" s="774"/>
      <c r="AB28" s="614">
        <v>138.6</v>
      </c>
      <c r="AC28" s="770"/>
      <c r="AD28" s="775"/>
      <c r="AE28" s="774"/>
      <c r="AF28" s="614">
        <v>0</v>
      </c>
      <c r="AG28" s="770"/>
      <c r="AH28" s="775"/>
      <c r="AJ28" s="776"/>
      <c r="AK28" s="386">
        <v>0.032</v>
      </c>
      <c r="AL28" s="770"/>
      <c r="AM28" s="777"/>
      <c r="AN28" s="368"/>
      <c r="AO28" s="776"/>
      <c r="AP28" s="380">
        <v>0</v>
      </c>
      <c r="AQ28" s="770"/>
      <c r="AR28" s="777"/>
      <c r="AS28" s="387"/>
      <c r="AT28" s="776"/>
      <c r="AU28" s="386">
        <v>0.0058</v>
      </c>
      <c r="AV28" s="770"/>
      <c r="AW28" s="777"/>
      <c r="AX28" s="370"/>
      <c r="AY28" s="774"/>
      <c r="AZ28" s="380">
        <v>0.0002</v>
      </c>
      <c r="BA28" s="770"/>
      <c r="BB28" s="775"/>
      <c r="BD28" s="776"/>
      <c r="BE28" s="386">
        <v>0.0008</v>
      </c>
      <c r="BF28" s="770"/>
      <c r="BG28" s="777"/>
      <c r="BH28" s="368"/>
      <c r="BI28" s="774"/>
      <c r="BJ28" s="380">
        <v>0</v>
      </c>
      <c r="BK28" s="770"/>
      <c r="BL28" s="775"/>
      <c r="BM28" s="387"/>
      <c r="BN28" s="774"/>
      <c r="BO28" s="386">
        <v>0.0024</v>
      </c>
      <c r="BP28" s="770"/>
      <c r="BQ28" s="775"/>
      <c r="BR28" s="370"/>
      <c r="BS28" s="774"/>
      <c r="BT28" s="380">
        <v>0</v>
      </c>
      <c r="BU28" s="770"/>
      <c r="BV28" s="775"/>
      <c r="BX28" s="776"/>
      <c r="BY28" s="386">
        <v>0.047</v>
      </c>
      <c r="BZ28" s="770"/>
      <c r="CA28" s="777"/>
      <c r="CB28" s="368"/>
      <c r="CC28" s="776"/>
      <c r="CD28" s="380">
        <v>0</v>
      </c>
      <c r="CE28" s="770"/>
      <c r="CF28" s="777"/>
      <c r="CG28" s="387"/>
      <c r="CH28" s="776"/>
      <c r="CI28" s="386">
        <v>0.0124</v>
      </c>
      <c r="CJ28" s="770"/>
      <c r="CK28" s="777"/>
      <c r="CL28" s="370"/>
      <c r="CM28" s="774"/>
      <c r="CN28" s="380">
        <v>0</v>
      </c>
      <c r="CO28" s="770"/>
      <c r="CP28" s="775"/>
      <c r="CQ28" s="370"/>
      <c r="CR28" s="776"/>
      <c r="CS28" s="380">
        <v>0.0064</v>
      </c>
      <c r="CT28" s="770"/>
      <c r="CU28" s="777"/>
      <c r="CV28" s="368"/>
      <c r="CW28" s="774"/>
      <c r="CX28" s="380">
        <v>0</v>
      </c>
      <c r="CY28" s="770"/>
      <c r="CZ28" s="775"/>
      <c r="DA28" s="387"/>
      <c r="DB28" s="774"/>
      <c r="DC28" s="380">
        <v>0.0056</v>
      </c>
      <c r="DD28" s="770"/>
      <c r="DE28" s="775"/>
      <c r="DF28" s="370"/>
      <c r="DG28" s="774"/>
      <c r="DH28" s="380">
        <v>0</v>
      </c>
      <c r="DI28" s="770"/>
      <c r="DJ28" s="775"/>
    </row>
    <row r="29" spans="1:114" ht="12.75">
      <c r="A29" s="769">
        <v>13</v>
      </c>
      <c r="B29" s="380">
        <v>1192.8</v>
      </c>
      <c r="C29" s="770">
        <f>ROUND(B29+B30,3)</f>
        <v>2406.6</v>
      </c>
      <c r="D29" s="771">
        <f>ROUND((D27+C29/14000),4)</f>
        <v>1.5927</v>
      </c>
      <c r="E29" s="772">
        <v>13</v>
      </c>
      <c r="F29" s="380">
        <v>0</v>
      </c>
      <c r="G29" s="770">
        <f>ROUND((42000*(F29+F30)/2),3)</f>
        <v>0</v>
      </c>
      <c r="H29" s="773">
        <f>ROUND((H27+G29/14000),4)</f>
        <v>0</v>
      </c>
      <c r="I29" s="774">
        <v>13</v>
      </c>
      <c r="J29" s="380">
        <v>243.6</v>
      </c>
      <c r="K29" s="770">
        <f>ROUND((J29+J30),3)</f>
        <v>491.4</v>
      </c>
      <c r="L29" s="773">
        <f>ROUND((L27+K29/14000),4)</f>
        <v>0.3432</v>
      </c>
      <c r="M29" s="774">
        <v>13</v>
      </c>
      <c r="N29" s="380">
        <v>0</v>
      </c>
      <c r="O29" s="770">
        <f>ROUND((42000*(N29+N30)/2),3)</f>
        <v>0</v>
      </c>
      <c r="P29" s="773">
        <f>ROUND((P27+O29/14000),4)</f>
        <v>0</v>
      </c>
      <c r="R29" s="774">
        <v>13</v>
      </c>
      <c r="S29" s="614">
        <v>936.6</v>
      </c>
      <c r="T29" s="770">
        <f>ROUND((S29+S30),3)</f>
        <v>1873.2</v>
      </c>
      <c r="U29" s="775">
        <f>ROUND((U27+T29/14000),4)</f>
        <v>1.1382</v>
      </c>
      <c r="V29" s="774">
        <v>13</v>
      </c>
      <c r="W29" s="380">
        <v>0</v>
      </c>
      <c r="X29" s="770">
        <f>ROUND((42000*(W29+W30)/2),3)</f>
        <v>0</v>
      </c>
      <c r="Y29" s="775">
        <f>ROUND((Y27+X29/14000),4)</f>
        <v>0</v>
      </c>
      <c r="Z29" s="385"/>
      <c r="AA29" s="774">
        <v>13</v>
      </c>
      <c r="AB29" s="614">
        <v>75.6</v>
      </c>
      <c r="AC29" s="770">
        <f>ROUND((AB29+AB30),3)</f>
        <v>151.2</v>
      </c>
      <c r="AD29" s="775">
        <f>ROUND((AD27+AC29/14000),4)</f>
        <v>0.0693</v>
      </c>
      <c r="AE29" s="774">
        <v>13</v>
      </c>
      <c r="AF29" s="614">
        <v>0</v>
      </c>
      <c r="AG29" s="770">
        <f>ROUND((AF29+AF30),3)</f>
        <v>0</v>
      </c>
      <c r="AH29" s="775">
        <f>ROUND((AH27+AG29/14000),4)</f>
        <v>0.0705</v>
      </c>
      <c r="AJ29" s="776">
        <v>13</v>
      </c>
      <c r="AK29" s="386">
        <v>0.0272</v>
      </c>
      <c r="AL29" s="770">
        <f>ROUND((9600*(AK29+AK30)/2),3)</f>
        <v>297.6</v>
      </c>
      <c r="AM29" s="777">
        <f>ROUND((AM27+AL29/9600),4)</f>
        <v>0.3036</v>
      </c>
      <c r="AN29" s="368"/>
      <c r="AO29" s="776">
        <v>13</v>
      </c>
      <c r="AP29" s="380">
        <v>0</v>
      </c>
      <c r="AQ29" s="770">
        <f>ROUND((14000*(AP29+AP30)/2),3)</f>
        <v>0</v>
      </c>
      <c r="AR29" s="777">
        <f>ROUND((AR27+AQ29/9600),4)</f>
        <v>0</v>
      </c>
      <c r="AS29" s="387"/>
      <c r="AT29" s="776">
        <v>13</v>
      </c>
      <c r="AU29" s="386">
        <v>0.0068</v>
      </c>
      <c r="AV29" s="770">
        <f>ROUND((9600*(AU29+AU30)/2),3)</f>
        <v>71.04</v>
      </c>
      <c r="AW29" s="777">
        <f>ROUND((AW27+AV29/9600),4)</f>
        <v>0.0404</v>
      </c>
      <c r="AX29" s="370"/>
      <c r="AY29" s="774">
        <v>13</v>
      </c>
      <c r="AZ29" s="380">
        <v>0</v>
      </c>
      <c r="BA29" s="770">
        <f>ROUND((9600*(AZ29+AZ30)/2),3)</f>
        <v>0</v>
      </c>
      <c r="BB29" s="775">
        <f>ROUND((BB27+BA29/9600),4)</f>
        <v>0.0161</v>
      </c>
      <c r="BD29" s="776">
        <v>13</v>
      </c>
      <c r="BE29" s="386">
        <v>0.0008</v>
      </c>
      <c r="BF29" s="770">
        <f>ROUND((15*(BE29+BE30)/2),3)</f>
        <v>0.012</v>
      </c>
      <c r="BG29" s="777">
        <f>ROUND((BG27+BF29/15),4)</f>
        <v>0.0068</v>
      </c>
      <c r="BH29" s="368"/>
      <c r="BI29" s="774">
        <v>13</v>
      </c>
      <c r="BJ29" s="380">
        <v>0</v>
      </c>
      <c r="BK29" s="770">
        <f>ROUND((15*(BJ29+BJ30)/2),3)</f>
        <v>0</v>
      </c>
      <c r="BL29" s="775">
        <f>ROUND((BL27+BK29/15),4)</f>
        <v>0</v>
      </c>
      <c r="BM29" s="387"/>
      <c r="BN29" s="774">
        <v>13</v>
      </c>
      <c r="BO29" s="386">
        <v>0.0016</v>
      </c>
      <c r="BP29" s="770">
        <f>ROUND((15*(BO29+BO30)/2),3)</f>
        <v>0.024</v>
      </c>
      <c r="BQ29" s="775">
        <f>ROUND((BQ27+BP29/15),4)</f>
        <v>0.0188</v>
      </c>
      <c r="BR29" s="370"/>
      <c r="BS29" s="774">
        <v>13</v>
      </c>
      <c r="BT29" s="380">
        <v>0</v>
      </c>
      <c r="BU29" s="770">
        <f>ROUND((15*(BT29+BT30)/2),3)</f>
        <v>0</v>
      </c>
      <c r="BV29" s="775">
        <f>ROUND((BV27+BU29/15),4)</f>
        <v>0</v>
      </c>
      <c r="BX29" s="776">
        <v>13</v>
      </c>
      <c r="BY29" s="386">
        <v>0.0448</v>
      </c>
      <c r="BZ29" s="770">
        <f>ROUND((9600*(BY29+BY30)/2),3)</f>
        <v>439.68</v>
      </c>
      <c r="CA29" s="777">
        <f>ROUND((CA27+BZ29/9600),4)</f>
        <v>0.4832</v>
      </c>
      <c r="CB29" s="368"/>
      <c r="CC29" s="776">
        <v>13</v>
      </c>
      <c r="CD29" s="380">
        <v>0</v>
      </c>
      <c r="CE29" s="770">
        <f>ROUND((14000*(CD29+CD30)/2),3)</f>
        <v>0</v>
      </c>
      <c r="CF29" s="777">
        <f>ROUND((CF27+CE29/9600),4)</f>
        <v>0</v>
      </c>
      <c r="CG29" s="387"/>
      <c r="CH29" s="776">
        <v>13</v>
      </c>
      <c r="CI29" s="386">
        <v>0.0122</v>
      </c>
      <c r="CJ29" s="770">
        <f>ROUND((9600*(CI29+CI30)/2),3)</f>
        <v>115.2</v>
      </c>
      <c r="CK29" s="777">
        <f>ROUND((CK27+CJ29/9600),4)</f>
        <v>0.1332</v>
      </c>
      <c r="CL29" s="370"/>
      <c r="CM29" s="774">
        <v>13</v>
      </c>
      <c r="CN29" s="380">
        <v>0</v>
      </c>
      <c r="CO29" s="770">
        <f>ROUND((9600*(CN29+CN30)/2),3)</f>
        <v>0</v>
      </c>
      <c r="CP29" s="775">
        <f>ROUND((CP27+CO29/9600),4)</f>
        <v>0</v>
      </c>
      <c r="CQ29" s="370"/>
      <c r="CR29" s="776">
        <v>13</v>
      </c>
      <c r="CS29" s="380">
        <v>0.0064</v>
      </c>
      <c r="CT29" s="770">
        <f>ROUND((15*(CS29+CS30)/2),3)</f>
        <v>0.096</v>
      </c>
      <c r="CU29" s="777">
        <f>ROUND((CU27+CT29/15),4)</f>
        <v>0.072</v>
      </c>
      <c r="CV29" s="368"/>
      <c r="CW29" s="774">
        <v>13</v>
      </c>
      <c r="CX29" s="380">
        <v>0</v>
      </c>
      <c r="CY29" s="770">
        <f>ROUND((15*(CX29+CX30)/2),3)</f>
        <v>0</v>
      </c>
      <c r="CZ29" s="775">
        <f>ROUND((CZ27+CY29/15),4)</f>
        <v>0</v>
      </c>
      <c r="DA29" s="387"/>
      <c r="DB29" s="774">
        <v>13</v>
      </c>
      <c r="DC29" s="380">
        <v>0.0056</v>
      </c>
      <c r="DD29" s="770">
        <f>ROUND((15*(DC29+DC30)/2),3)</f>
        <v>0.084</v>
      </c>
      <c r="DE29" s="775">
        <f>ROUND((DE27+DD29/15),4)</f>
        <v>0.0632</v>
      </c>
      <c r="DF29" s="370"/>
      <c r="DG29" s="774">
        <v>13</v>
      </c>
      <c r="DH29" s="380">
        <v>0</v>
      </c>
      <c r="DI29" s="770">
        <f>ROUND((15*(DH29+DH30)/2),3)</f>
        <v>0</v>
      </c>
      <c r="DJ29" s="775">
        <f>ROUND((DJ27+DI29/15),4)</f>
        <v>0</v>
      </c>
    </row>
    <row r="30" spans="1:114" ht="12.75">
      <c r="A30" s="769"/>
      <c r="B30" s="380">
        <v>1213.8</v>
      </c>
      <c r="C30" s="770"/>
      <c r="D30" s="771"/>
      <c r="E30" s="772"/>
      <c r="F30" s="380">
        <v>0</v>
      </c>
      <c r="G30" s="770"/>
      <c r="H30" s="773"/>
      <c r="I30" s="774"/>
      <c r="J30" s="380">
        <v>247.8</v>
      </c>
      <c r="K30" s="770"/>
      <c r="L30" s="773"/>
      <c r="M30" s="774"/>
      <c r="N30" s="380">
        <v>0</v>
      </c>
      <c r="O30" s="770"/>
      <c r="P30" s="773"/>
      <c r="R30" s="774"/>
      <c r="S30" s="614">
        <v>936.6</v>
      </c>
      <c r="T30" s="770"/>
      <c r="U30" s="775"/>
      <c r="V30" s="774"/>
      <c r="W30" s="380">
        <v>0</v>
      </c>
      <c r="X30" s="770"/>
      <c r="Y30" s="775"/>
      <c r="Z30" s="385"/>
      <c r="AA30" s="774"/>
      <c r="AB30" s="614">
        <v>75.6</v>
      </c>
      <c r="AC30" s="770"/>
      <c r="AD30" s="775"/>
      <c r="AE30" s="774"/>
      <c r="AF30" s="614">
        <v>0</v>
      </c>
      <c r="AG30" s="770"/>
      <c r="AH30" s="775"/>
      <c r="AJ30" s="776"/>
      <c r="AK30" s="386">
        <v>0.0348</v>
      </c>
      <c r="AL30" s="770"/>
      <c r="AM30" s="777"/>
      <c r="AN30" s="368"/>
      <c r="AO30" s="776"/>
      <c r="AP30" s="380">
        <v>0</v>
      </c>
      <c r="AQ30" s="770"/>
      <c r="AR30" s="777"/>
      <c r="AS30" s="387"/>
      <c r="AT30" s="776"/>
      <c r="AU30" s="386">
        <v>0.008</v>
      </c>
      <c r="AV30" s="770"/>
      <c r="AW30" s="777"/>
      <c r="AX30" s="370"/>
      <c r="AY30" s="774"/>
      <c r="AZ30" s="380">
        <v>0</v>
      </c>
      <c r="BA30" s="770"/>
      <c r="BB30" s="775"/>
      <c r="BD30" s="776"/>
      <c r="BE30" s="386">
        <v>0.0008</v>
      </c>
      <c r="BF30" s="770"/>
      <c r="BG30" s="777"/>
      <c r="BH30" s="368"/>
      <c r="BI30" s="774"/>
      <c r="BJ30" s="380">
        <v>0</v>
      </c>
      <c r="BK30" s="770"/>
      <c r="BL30" s="775"/>
      <c r="BM30" s="387"/>
      <c r="BN30" s="774"/>
      <c r="BO30" s="386">
        <v>0.0016</v>
      </c>
      <c r="BP30" s="770"/>
      <c r="BQ30" s="775"/>
      <c r="BR30" s="370"/>
      <c r="BS30" s="774"/>
      <c r="BT30" s="380">
        <v>0</v>
      </c>
      <c r="BU30" s="770"/>
      <c r="BV30" s="775"/>
      <c r="BX30" s="776"/>
      <c r="BY30" s="386">
        <v>0.0468</v>
      </c>
      <c r="BZ30" s="770"/>
      <c r="CA30" s="777"/>
      <c r="CB30" s="368"/>
      <c r="CC30" s="776"/>
      <c r="CD30" s="380">
        <v>0</v>
      </c>
      <c r="CE30" s="770"/>
      <c r="CF30" s="777"/>
      <c r="CG30" s="387"/>
      <c r="CH30" s="776"/>
      <c r="CI30" s="386">
        <v>0.0118</v>
      </c>
      <c r="CJ30" s="770"/>
      <c r="CK30" s="777"/>
      <c r="CL30" s="370"/>
      <c r="CM30" s="774"/>
      <c r="CN30" s="380">
        <v>0</v>
      </c>
      <c r="CO30" s="770"/>
      <c r="CP30" s="775"/>
      <c r="CQ30" s="370"/>
      <c r="CR30" s="776"/>
      <c r="CS30" s="380">
        <v>0.0064</v>
      </c>
      <c r="CT30" s="770"/>
      <c r="CU30" s="777"/>
      <c r="CV30" s="368"/>
      <c r="CW30" s="774"/>
      <c r="CX30" s="380">
        <v>0</v>
      </c>
      <c r="CY30" s="770"/>
      <c r="CZ30" s="775"/>
      <c r="DA30" s="387"/>
      <c r="DB30" s="774"/>
      <c r="DC30" s="380">
        <v>0.0056</v>
      </c>
      <c r="DD30" s="770"/>
      <c r="DE30" s="775"/>
      <c r="DF30" s="370"/>
      <c r="DG30" s="774"/>
      <c r="DH30" s="380">
        <v>0</v>
      </c>
      <c r="DI30" s="770"/>
      <c r="DJ30" s="775"/>
    </row>
    <row r="31" spans="1:114" ht="12.75">
      <c r="A31" s="769">
        <v>14</v>
      </c>
      <c r="B31" s="380">
        <v>1197</v>
      </c>
      <c r="C31" s="770">
        <f>ROUND(B31+B32,3)</f>
        <v>2398.2</v>
      </c>
      <c r="D31" s="771">
        <f>ROUND((D29+C31/14000),4)</f>
        <v>1.764</v>
      </c>
      <c r="E31" s="772">
        <v>14</v>
      </c>
      <c r="F31" s="380">
        <v>0</v>
      </c>
      <c r="G31" s="770">
        <f>ROUND((42000*(F31+F32)/2),3)</f>
        <v>0</v>
      </c>
      <c r="H31" s="773">
        <f>ROUND((H29+G31/14000),4)</f>
        <v>0</v>
      </c>
      <c r="I31" s="774">
        <v>14</v>
      </c>
      <c r="J31" s="380">
        <v>247.8</v>
      </c>
      <c r="K31" s="770">
        <f>ROUND((J31+J32),3)</f>
        <v>495.6</v>
      </c>
      <c r="L31" s="773">
        <f>ROUND((L29+K31/14000),4)</f>
        <v>0.3786</v>
      </c>
      <c r="M31" s="774">
        <v>14</v>
      </c>
      <c r="N31" s="380">
        <v>0</v>
      </c>
      <c r="O31" s="770">
        <f>ROUND((42000*(N31+N32)/2),3)</f>
        <v>0</v>
      </c>
      <c r="P31" s="773">
        <f>ROUND((P29+O31/14000),4)</f>
        <v>0</v>
      </c>
      <c r="R31" s="774">
        <v>14</v>
      </c>
      <c r="S31" s="614">
        <v>919.8</v>
      </c>
      <c r="T31" s="770">
        <f>ROUND((S31+S32),3)</f>
        <v>1835.4</v>
      </c>
      <c r="U31" s="775">
        <f>ROUND((U29+T31/14000),4)</f>
        <v>1.2693</v>
      </c>
      <c r="V31" s="774">
        <v>14</v>
      </c>
      <c r="W31" s="380">
        <v>0</v>
      </c>
      <c r="X31" s="770">
        <f>ROUND((42000*(W31+W32)/2),3)</f>
        <v>0</v>
      </c>
      <c r="Y31" s="775">
        <f>ROUND((Y29+X31/14000),4)</f>
        <v>0</v>
      </c>
      <c r="Z31" s="385"/>
      <c r="AA31" s="774">
        <v>14</v>
      </c>
      <c r="AB31" s="614">
        <v>79.8</v>
      </c>
      <c r="AC31" s="770">
        <f>ROUND((AB31+AB32),3)</f>
        <v>159.6</v>
      </c>
      <c r="AD31" s="775">
        <f>ROUND((AD29+AC31/14000),4)</f>
        <v>0.0807</v>
      </c>
      <c r="AE31" s="774">
        <v>14</v>
      </c>
      <c r="AF31" s="614">
        <v>0</v>
      </c>
      <c r="AG31" s="770">
        <f>ROUND((AF31+AF32),3)</f>
        <v>0</v>
      </c>
      <c r="AH31" s="775">
        <f>ROUND((AH29+AG31/14000),4)</f>
        <v>0.0705</v>
      </c>
      <c r="AJ31" s="776">
        <v>14</v>
      </c>
      <c r="AK31" s="386">
        <v>0.0336</v>
      </c>
      <c r="AL31" s="770">
        <f>ROUND((9600*(AK31+AK32)/2),3)</f>
        <v>342.72</v>
      </c>
      <c r="AM31" s="777">
        <f>ROUND((AM29+AL31/9600),4)</f>
        <v>0.3393</v>
      </c>
      <c r="AN31" s="368"/>
      <c r="AO31" s="776">
        <v>14</v>
      </c>
      <c r="AP31" s="380">
        <v>0</v>
      </c>
      <c r="AQ31" s="770">
        <f>ROUND((14000*(AP31+AP32)/2),3)</f>
        <v>0</v>
      </c>
      <c r="AR31" s="777">
        <f>ROUND((AR29+AQ31/9600),4)</f>
        <v>0</v>
      </c>
      <c r="AS31" s="387"/>
      <c r="AT31" s="776">
        <v>14</v>
      </c>
      <c r="AU31" s="386">
        <v>0.0084</v>
      </c>
      <c r="AV31" s="770">
        <f>ROUND((9600*(AU31+AU32)/2),3)</f>
        <v>76.8</v>
      </c>
      <c r="AW31" s="777">
        <f>ROUND((AW29+AV31/9600),4)</f>
        <v>0.0484</v>
      </c>
      <c r="AX31" s="370"/>
      <c r="AY31" s="774">
        <v>14</v>
      </c>
      <c r="AZ31" s="380">
        <v>0</v>
      </c>
      <c r="BA31" s="770">
        <f>ROUND((9600*(AZ31+AZ32)/2),3)</f>
        <v>0</v>
      </c>
      <c r="BB31" s="775">
        <f>ROUND((BB29+BA31/9600),4)</f>
        <v>0.0161</v>
      </c>
      <c r="BD31" s="776">
        <v>14</v>
      </c>
      <c r="BE31" s="386">
        <v>0.0008</v>
      </c>
      <c r="BF31" s="770">
        <f>ROUND((15*(BE31+BE32)/2),3)</f>
        <v>0.006</v>
      </c>
      <c r="BG31" s="777">
        <f>ROUND((BG29+BF31/15),4)</f>
        <v>0.0072</v>
      </c>
      <c r="BH31" s="368"/>
      <c r="BI31" s="774">
        <v>14</v>
      </c>
      <c r="BJ31" s="380">
        <v>0</v>
      </c>
      <c r="BK31" s="770">
        <f>ROUND((15*(BJ31+BJ32)/2),3)</f>
        <v>0</v>
      </c>
      <c r="BL31" s="775">
        <f>ROUND((BL29+BK31/15),4)</f>
        <v>0</v>
      </c>
      <c r="BM31" s="387"/>
      <c r="BN31" s="774">
        <v>14</v>
      </c>
      <c r="BO31" s="386">
        <v>0.0016</v>
      </c>
      <c r="BP31" s="770">
        <f>ROUND((15*(BO31+BO32)/2),3)</f>
        <v>0.024</v>
      </c>
      <c r="BQ31" s="775">
        <f>ROUND((BQ29+BP31/15),4)</f>
        <v>0.0204</v>
      </c>
      <c r="BR31" s="370"/>
      <c r="BS31" s="774">
        <v>14</v>
      </c>
      <c r="BT31" s="380">
        <v>0</v>
      </c>
      <c r="BU31" s="770">
        <f>ROUND((15*(BT31+BT32)/2),3)</f>
        <v>0</v>
      </c>
      <c r="BV31" s="775">
        <f>ROUND((BV29+BU31/15),4)</f>
        <v>0</v>
      </c>
      <c r="BX31" s="776">
        <v>14</v>
      </c>
      <c r="BY31" s="386">
        <v>0.0446</v>
      </c>
      <c r="BZ31" s="770">
        <f>ROUND((9600*(BY31+BY32)/2),3)</f>
        <v>436.8</v>
      </c>
      <c r="CA31" s="777">
        <f>ROUND((CA29+BZ31/9600),4)</f>
        <v>0.5287</v>
      </c>
      <c r="CB31" s="368"/>
      <c r="CC31" s="776">
        <v>14</v>
      </c>
      <c r="CD31" s="380">
        <v>0</v>
      </c>
      <c r="CE31" s="770">
        <f>ROUND((14000*(CD31+CD32)/2),3)</f>
        <v>0</v>
      </c>
      <c r="CF31" s="777">
        <f>ROUND((CF29+CE31/9600),4)</f>
        <v>0</v>
      </c>
      <c r="CG31" s="387"/>
      <c r="CH31" s="776">
        <v>14</v>
      </c>
      <c r="CI31" s="386">
        <v>0.0116</v>
      </c>
      <c r="CJ31" s="770">
        <f>ROUND((9600*(CI31+CI32)/2),3)</f>
        <v>113.28</v>
      </c>
      <c r="CK31" s="777">
        <f>ROUND((CK29+CJ31/9600),4)</f>
        <v>0.145</v>
      </c>
      <c r="CL31" s="370"/>
      <c r="CM31" s="774">
        <v>14</v>
      </c>
      <c r="CN31" s="380">
        <v>0</v>
      </c>
      <c r="CO31" s="770">
        <f>ROUND((9600*(CN31+CN32)/2),3)</f>
        <v>0</v>
      </c>
      <c r="CP31" s="775">
        <f>ROUND((CP29+CO31/9600),4)</f>
        <v>0</v>
      </c>
      <c r="CQ31" s="370"/>
      <c r="CR31" s="776">
        <v>14</v>
      </c>
      <c r="CS31" s="380">
        <v>0.0064</v>
      </c>
      <c r="CT31" s="770">
        <f>ROUND((15*(CS31+CS32)/2),3)</f>
        <v>0.096</v>
      </c>
      <c r="CU31" s="777">
        <f>ROUND((CU29+CT31/15),4)</f>
        <v>0.0784</v>
      </c>
      <c r="CV31" s="368"/>
      <c r="CW31" s="774">
        <v>14</v>
      </c>
      <c r="CX31" s="380">
        <v>0</v>
      </c>
      <c r="CY31" s="770">
        <f>ROUND((15*(CX31+CX32)/2),3)</f>
        <v>0</v>
      </c>
      <c r="CZ31" s="775">
        <f>ROUND((CZ29+CY31/15),4)</f>
        <v>0</v>
      </c>
      <c r="DA31" s="387"/>
      <c r="DB31" s="774">
        <v>14</v>
      </c>
      <c r="DC31" s="380">
        <v>0.0064</v>
      </c>
      <c r="DD31" s="770">
        <f>ROUND((15*(DC31+DC32)/2),3)</f>
        <v>0.09</v>
      </c>
      <c r="DE31" s="775">
        <f>ROUND((DE29+DD31/15),4)</f>
        <v>0.0692</v>
      </c>
      <c r="DF31" s="370"/>
      <c r="DG31" s="774">
        <v>14</v>
      </c>
      <c r="DH31" s="380">
        <v>0</v>
      </c>
      <c r="DI31" s="770">
        <f>ROUND((15*(DH31+DH32)/2),3)</f>
        <v>0</v>
      </c>
      <c r="DJ31" s="775">
        <f>ROUND((DJ29+DI31/15),4)</f>
        <v>0</v>
      </c>
    </row>
    <row r="32" spans="1:114" ht="12.75">
      <c r="A32" s="769"/>
      <c r="B32" s="380">
        <v>1201.2</v>
      </c>
      <c r="C32" s="770"/>
      <c r="D32" s="771"/>
      <c r="E32" s="772"/>
      <c r="F32" s="380">
        <v>0</v>
      </c>
      <c r="G32" s="770"/>
      <c r="H32" s="773"/>
      <c r="I32" s="774"/>
      <c r="J32" s="380">
        <v>247.8</v>
      </c>
      <c r="K32" s="770"/>
      <c r="L32" s="773"/>
      <c r="M32" s="774"/>
      <c r="N32" s="380">
        <v>0</v>
      </c>
      <c r="O32" s="770"/>
      <c r="P32" s="773"/>
      <c r="R32" s="774"/>
      <c r="S32" s="614">
        <v>915.6</v>
      </c>
      <c r="T32" s="770"/>
      <c r="U32" s="775"/>
      <c r="V32" s="774"/>
      <c r="W32" s="380">
        <v>0</v>
      </c>
      <c r="X32" s="770"/>
      <c r="Y32" s="775"/>
      <c r="Z32" s="385"/>
      <c r="AA32" s="774"/>
      <c r="AB32" s="614">
        <v>79.8</v>
      </c>
      <c r="AC32" s="770"/>
      <c r="AD32" s="775"/>
      <c r="AE32" s="774"/>
      <c r="AF32" s="614">
        <v>0</v>
      </c>
      <c r="AG32" s="770"/>
      <c r="AH32" s="775"/>
      <c r="AJ32" s="776"/>
      <c r="AK32" s="386">
        <v>0.0378</v>
      </c>
      <c r="AL32" s="770"/>
      <c r="AM32" s="777"/>
      <c r="AN32" s="368"/>
      <c r="AO32" s="776"/>
      <c r="AP32" s="380">
        <v>0</v>
      </c>
      <c r="AQ32" s="770"/>
      <c r="AR32" s="777"/>
      <c r="AS32" s="387"/>
      <c r="AT32" s="776"/>
      <c r="AU32" s="386">
        <v>0.0076</v>
      </c>
      <c r="AV32" s="770"/>
      <c r="AW32" s="777"/>
      <c r="AX32" s="370"/>
      <c r="AY32" s="774"/>
      <c r="AZ32" s="380">
        <v>0</v>
      </c>
      <c r="BA32" s="770"/>
      <c r="BB32" s="775"/>
      <c r="BD32" s="776"/>
      <c r="BE32" s="386">
        <v>0</v>
      </c>
      <c r="BF32" s="770"/>
      <c r="BG32" s="777"/>
      <c r="BH32" s="368"/>
      <c r="BI32" s="774"/>
      <c r="BJ32" s="380">
        <v>0</v>
      </c>
      <c r="BK32" s="770"/>
      <c r="BL32" s="775"/>
      <c r="BM32" s="387"/>
      <c r="BN32" s="774"/>
      <c r="BO32" s="386">
        <v>0.0016</v>
      </c>
      <c r="BP32" s="770"/>
      <c r="BQ32" s="775"/>
      <c r="BR32" s="370"/>
      <c r="BS32" s="774"/>
      <c r="BT32" s="380">
        <v>0</v>
      </c>
      <c r="BU32" s="770"/>
      <c r="BV32" s="775"/>
      <c r="BX32" s="776"/>
      <c r="BY32" s="386">
        <v>0.0464</v>
      </c>
      <c r="BZ32" s="770"/>
      <c r="CA32" s="777"/>
      <c r="CB32" s="368"/>
      <c r="CC32" s="776"/>
      <c r="CD32" s="380">
        <v>0</v>
      </c>
      <c r="CE32" s="770"/>
      <c r="CF32" s="777"/>
      <c r="CG32" s="387"/>
      <c r="CH32" s="776"/>
      <c r="CI32" s="386">
        <v>0.012</v>
      </c>
      <c r="CJ32" s="770"/>
      <c r="CK32" s="777"/>
      <c r="CL32" s="370"/>
      <c r="CM32" s="774"/>
      <c r="CN32" s="380">
        <v>0</v>
      </c>
      <c r="CO32" s="770"/>
      <c r="CP32" s="775"/>
      <c r="CQ32" s="370"/>
      <c r="CR32" s="776"/>
      <c r="CS32" s="380">
        <v>0.0064</v>
      </c>
      <c r="CT32" s="770"/>
      <c r="CU32" s="777"/>
      <c r="CV32" s="368"/>
      <c r="CW32" s="774"/>
      <c r="CX32" s="380">
        <v>0</v>
      </c>
      <c r="CY32" s="770"/>
      <c r="CZ32" s="775"/>
      <c r="DA32" s="387"/>
      <c r="DB32" s="774"/>
      <c r="DC32" s="380">
        <v>0.0056</v>
      </c>
      <c r="DD32" s="770"/>
      <c r="DE32" s="775"/>
      <c r="DF32" s="370"/>
      <c r="DG32" s="774"/>
      <c r="DH32" s="380">
        <v>0</v>
      </c>
      <c r="DI32" s="770"/>
      <c r="DJ32" s="775"/>
    </row>
    <row r="33" spans="1:114" ht="12.75">
      <c r="A33" s="769">
        <v>15</v>
      </c>
      <c r="B33" s="380">
        <v>1201.2</v>
      </c>
      <c r="C33" s="770">
        <f>ROUND(B33+B34,3)</f>
        <v>2402.4</v>
      </c>
      <c r="D33" s="771">
        <f>ROUND((D31+C33/14000),4)</f>
        <v>1.9356</v>
      </c>
      <c r="E33" s="772">
        <v>15</v>
      </c>
      <c r="F33" s="380">
        <v>0</v>
      </c>
      <c r="G33" s="770">
        <f>ROUND((42000*(F33+F34)/2),3)</f>
        <v>0</v>
      </c>
      <c r="H33" s="773">
        <f>ROUND((H31+G33/14000),4)</f>
        <v>0</v>
      </c>
      <c r="I33" s="774">
        <v>15</v>
      </c>
      <c r="J33" s="380">
        <v>252</v>
      </c>
      <c r="K33" s="770">
        <f>ROUND((J33+J34),3)</f>
        <v>499.8</v>
      </c>
      <c r="L33" s="773">
        <f>ROUND((L31+K33/14000),4)</f>
        <v>0.4143</v>
      </c>
      <c r="M33" s="774">
        <v>15</v>
      </c>
      <c r="N33" s="380">
        <v>0</v>
      </c>
      <c r="O33" s="770">
        <f>ROUND((42000*(N33+N34)/2),3)</f>
        <v>0</v>
      </c>
      <c r="P33" s="773">
        <f>ROUND((P31+O33/14000),4)</f>
        <v>0</v>
      </c>
      <c r="R33" s="774">
        <v>15</v>
      </c>
      <c r="S33" s="614">
        <v>928.2</v>
      </c>
      <c r="T33" s="770">
        <f>ROUND((S33+S34),3)</f>
        <v>1831.2</v>
      </c>
      <c r="U33" s="775">
        <f>ROUND((U31+T33/14000),4)</f>
        <v>1.4001</v>
      </c>
      <c r="V33" s="774">
        <v>15</v>
      </c>
      <c r="W33" s="380">
        <v>0</v>
      </c>
      <c r="X33" s="770">
        <f>ROUND((42000*(W33+W34)/2),3)</f>
        <v>0</v>
      </c>
      <c r="Y33" s="775">
        <f>ROUND((Y31+X33/14000),4)</f>
        <v>0</v>
      </c>
      <c r="Z33" s="385"/>
      <c r="AA33" s="774">
        <v>15</v>
      </c>
      <c r="AB33" s="614">
        <v>79.8</v>
      </c>
      <c r="AC33" s="770">
        <f>ROUND((AB33+AB34),3)</f>
        <v>155.4</v>
      </c>
      <c r="AD33" s="775">
        <f>ROUND((AD31+AC33/14000),4)</f>
        <v>0.0918</v>
      </c>
      <c r="AE33" s="774">
        <v>15</v>
      </c>
      <c r="AF33" s="614">
        <v>0</v>
      </c>
      <c r="AG33" s="770">
        <f>ROUND((AF33+AF34),3)</f>
        <v>0</v>
      </c>
      <c r="AH33" s="775">
        <f>ROUND((AH31+AG33/14000),4)</f>
        <v>0.0705</v>
      </c>
      <c r="AJ33" s="776">
        <v>15</v>
      </c>
      <c r="AK33" s="386">
        <v>0.0368</v>
      </c>
      <c r="AL33" s="770">
        <f>ROUND((9600*(AK33+AK34)/2),3)</f>
        <v>351.36</v>
      </c>
      <c r="AM33" s="777">
        <f>ROUND((AM31+AL33/9600),4)</f>
        <v>0.3759</v>
      </c>
      <c r="AN33" s="368"/>
      <c r="AO33" s="776">
        <v>15</v>
      </c>
      <c r="AP33" s="380">
        <v>0</v>
      </c>
      <c r="AQ33" s="770">
        <f>ROUND((14000*(AP33+AP34)/2),3)</f>
        <v>0</v>
      </c>
      <c r="AR33" s="777">
        <f>ROUND((AR31+AQ33/9600),4)</f>
        <v>0</v>
      </c>
      <c r="AS33" s="387"/>
      <c r="AT33" s="776">
        <v>15</v>
      </c>
      <c r="AU33" s="386">
        <v>0.0076</v>
      </c>
      <c r="AV33" s="770">
        <f>ROUND((9600*(AU33+AU34)/2),3)</f>
        <v>74.88</v>
      </c>
      <c r="AW33" s="777">
        <f>ROUND((AW31+AV33/9600),4)</f>
        <v>0.0562</v>
      </c>
      <c r="AX33" s="370"/>
      <c r="AY33" s="774">
        <v>15</v>
      </c>
      <c r="AZ33" s="380">
        <v>0</v>
      </c>
      <c r="BA33" s="770">
        <f>ROUND((9600*(AZ33+AZ34)/2),3)</f>
        <v>0</v>
      </c>
      <c r="BB33" s="775">
        <f>ROUND((BB31+BA33/9600),4)</f>
        <v>0.0161</v>
      </c>
      <c r="BD33" s="776">
        <v>15</v>
      </c>
      <c r="BE33" s="386">
        <v>0.0008</v>
      </c>
      <c r="BF33" s="770">
        <f>ROUND((15*(BE33+BE34)/2),3)</f>
        <v>0.012</v>
      </c>
      <c r="BG33" s="777">
        <f>ROUND((BG31+BF33/15),4)</f>
        <v>0.008</v>
      </c>
      <c r="BH33" s="368"/>
      <c r="BI33" s="774">
        <v>15</v>
      </c>
      <c r="BJ33" s="380">
        <v>0</v>
      </c>
      <c r="BK33" s="770">
        <f>ROUND((15*(BJ33+BJ34)/2),3)</f>
        <v>0</v>
      </c>
      <c r="BL33" s="775">
        <f>ROUND((BL31+BK33/15),4)</f>
        <v>0</v>
      </c>
      <c r="BM33" s="387"/>
      <c r="BN33" s="774">
        <v>15</v>
      </c>
      <c r="BO33" s="386">
        <v>0.0016</v>
      </c>
      <c r="BP33" s="770">
        <f>ROUND((15*(BO33+BO34)/2),3)</f>
        <v>0.024</v>
      </c>
      <c r="BQ33" s="775">
        <f>ROUND((BQ31+BP33/15),4)</f>
        <v>0.022</v>
      </c>
      <c r="BR33" s="370"/>
      <c r="BS33" s="774">
        <v>15</v>
      </c>
      <c r="BT33" s="380">
        <v>0</v>
      </c>
      <c r="BU33" s="770">
        <f>ROUND((15*(BT33+BT34)/2),3)</f>
        <v>0</v>
      </c>
      <c r="BV33" s="775">
        <f>ROUND((BV31+BU33/15),4)</f>
        <v>0</v>
      </c>
      <c r="BX33" s="776">
        <v>15</v>
      </c>
      <c r="BY33" s="386">
        <v>0.0482</v>
      </c>
      <c r="BZ33" s="770">
        <f>ROUND((9600*(BY33+BY34)/2),3)</f>
        <v>460.8</v>
      </c>
      <c r="CA33" s="777">
        <f>ROUND((CA31+BZ33/9600),4)</f>
        <v>0.5767</v>
      </c>
      <c r="CB33" s="368"/>
      <c r="CC33" s="776">
        <v>15</v>
      </c>
      <c r="CD33" s="380">
        <v>0</v>
      </c>
      <c r="CE33" s="770">
        <f>ROUND((14000*(CD33+CD34)/2),3)</f>
        <v>0</v>
      </c>
      <c r="CF33" s="777">
        <f>ROUND((CF31+CE33/9600),4)</f>
        <v>0</v>
      </c>
      <c r="CG33" s="387"/>
      <c r="CH33" s="776">
        <v>15</v>
      </c>
      <c r="CI33" s="386">
        <v>0.0128</v>
      </c>
      <c r="CJ33" s="770">
        <f>ROUND((9600*(CI33+CI34)/2),3)</f>
        <v>123.84</v>
      </c>
      <c r="CK33" s="777">
        <f>ROUND((CK31+CJ33/9600),4)</f>
        <v>0.1579</v>
      </c>
      <c r="CL33" s="370"/>
      <c r="CM33" s="774">
        <v>15</v>
      </c>
      <c r="CN33" s="380">
        <v>0</v>
      </c>
      <c r="CO33" s="770">
        <f>ROUND((9600*(CN33+CN34)/2),3)</f>
        <v>0</v>
      </c>
      <c r="CP33" s="775">
        <f>ROUND((CP31+CO33/9600),4)</f>
        <v>0</v>
      </c>
      <c r="CQ33" s="370"/>
      <c r="CR33" s="776">
        <v>15</v>
      </c>
      <c r="CS33" s="380">
        <v>0.0072</v>
      </c>
      <c r="CT33" s="770">
        <f>ROUND((15*(CS33+CS34)/2),3)</f>
        <v>0.102</v>
      </c>
      <c r="CU33" s="777">
        <f>ROUND((CU31+CT33/15),4)</f>
        <v>0.0852</v>
      </c>
      <c r="CV33" s="368"/>
      <c r="CW33" s="774">
        <v>15</v>
      </c>
      <c r="CX33" s="380">
        <v>0</v>
      </c>
      <c r="CY33" s="770">
        <f>ROUND((15*(CX33+CX34)/2),3)</f>
        <v>0</v>
      </c>
      <c r="CZ33" s="775">
        <f>ROUND((CZ31+CY33/15),4)</f>
        <v>0</v>
      </c>
      <c r="DA33" s="387"/>
      <c r="DB33" s="774">
        <v>15</v>
      </c>
      <c r="DC33" s="380">
        <v>0.0056</v>
      </c>
      <c r="DD33" s="770">
        <f>ROUND((15*(DC33+DC34)/2),3)</f>
        <v>0.084</v>
      </c>
      <c r="DE33" s="775">
        <f>ROUND((DE31+DD33/15),4)</f>
        <v>0.0748</v>
      </c>
      <c r="DF33" s="370"/>
      <c r="DG33" s="774">
        <v>15</v>
      </c>
      <c r="DH33" s="380">
        <v>0</v>
      </c>
      <c r="DI33" s="770">
        <f>ROUND((15*(DH33+DH34)/2),3)</f>
        <v>0</v>
      </c>
      <c r="DJ33" s="775">
        <f>ROUND((DJ31+DI33/15),4)</f>
        <v>0</v>
      </c>
    </row>
    <row r="34" spans="1:114" ht="12.75">
      <c r="A34" s="769"/>
      <c r="B34" s="380">
        <v>1201.2</v>
      </c>
      <c r="C34" s="770"/>
      <c r="D34" s="771"/>
      <c r="E34" s="772"/>
      <c r="F34" s="380">
        <v>0</v>
      </c>
      <c r="G34" s="770"/>
      <c r="H34" s="773"/>
      <c r="I34" s="774"/>
      <c r="J34" s="380">
        <v>247.8</v>
      </c>
      <c r="K34" s="770"/>
      <c r="L34" s="773"/>
      <c r="M34" s="774"/>
      <c r="N34" s="380">
        <v>0</v>
      </c>
      <c r="O34" s="770"/>
      <c r="P34" s="773"/>
      <c r="R34" s="774"/>
      <c r="S34" s="614">
        <v>903</v>
      </c>
      <c r="T34" s="770"/>
      <c r="U34" s="775"/>
      <c r="V34" s="774"/>
      <c r="W34" s="380">
        <v>0</v>
      </c>
      <c r="X34" s="770"/>
      <c r="Y34" s="775"/>
      <c r="Z34" s="385"/>
      <c r="AA34" s="774"/>
      <c r="AB34" s="614">
        <v>75.6</v>
      </c>
      <c r="AC34" s="770"/>
      <c r="AD34" s="775"/>
      <c r="AE34" s="774"/>
      <c r="AF34" s="614">
        <v>0</v>
      </c>
      <c r="AG34" s="770"/>
      <c r="AH34" s="775"/>
      <c r="AJ34" s="776"/>
      <c r="AK34" s="386">
        <v>0.0364</v>
      </c>
      <c r="AL34" s="770"/>
      <c r="AM34" s="777"/>
      <c r="AN34" s="368"/>
      <c r="AO34" s="776"/>
      <c r="AP34" s="380">
        <v>0</v>
      </c>
      <c r="AQ34" s="770"/>
      <c r="AR34" s="777"/>
      <c r="AS34" s="387"/>
      <c r="AT34" s="776"/>
      <c r="AU34" s="386">
        <v>0.008</v>
      </c>
      <c r="AV34" s="770"/>
      <c r="AW34" s="777"/>
      <c r="AX34" s="370"/>
      <c r="AY34" s="774"/>
      <c r="AZ34" s="380">
        <v>0</v>
      </c>
      <c r="BA34" s="770"/>
      <c r="BB34" s="775"/>
      <c r="BD34" s="776"/>
      <c r="BE34" s="386">
        <v>0.0008</v>
      </c>
      <c r="BF34" s="770"/>
      <c r="BG34" s="777"/>
      <c r="BH34" s="368"/>
      <c r="BI34" s="774"/>
      <c r="BJ34" s="380">
        <v>0</v>
      </c>
      <c r="BK34" s="770"/>
      <c r="BL34" s="775"/>
      <c r="BM34" s="387"/>
      <c r="BN34" s="774"/>
      <c r="BO34" s="386">
        <v>0.0016</v>
      </c>
      <c r="BP34" s="770"/>
      <c r="BQ34" s="775"/>
      <c r="BR34" s="370"/>
      <c r="BS34" s="774"/>
      <c r="BT34" s="380">
        <v>0</v>
      </c>
      <c r="BU34" s="770"/>
      <c r="BV34" s="775"/>
      <c r="BX34" s="776"/>
      <c r="BY34" s="386">
        <v>0.0478</v>
      </c>
      <c r="BZ34" s="770"/>
      <c r="CA34" s="777"/>
      <c r="CB34" s="368"/>
      <c r="CC34" s="776"/>
      <c r="CD34" s="380">
        <v>0</v>
      </c>
      <c r="CE34" s="770"/>
      <c r="CF34" s="777"/>
      <c r="CG34" s="387"/>
      <c r="CH34" s="776"/>
      <c r="CI34" s="386">
        <v>0.013</v>
      </c>
      <c r="CJ34" s="770"/>
      <c r="CK34" s="777"/>
      <c r="CL34" s="370"/>
      <c r="CM34" s="774"/>
      <c r="CN34" s="380">
        <v>0</v>
      </c>
      <c r="CO34" s="770"/>
      <c r="CP34" s="775"/>
      <c r="CQ34" s="370"/>
      <c r="CR34" s="776"/>
      <c r="CS34" s="380">
        <v>0.0064</v>
      </c>
      <c r="CT34" s="770"/>
      <c r="CU34" s="777"/>
      <c r="CV34" s="368"/>
      <c r="CW34" s="774"/>
      <c r="CX34" s="380">
        <v>0</v>
      </c>
      <c r="CY34" s="770"/>
      <c r="CZ34" s="775"/>
      <c r="DA34" s="387"/>
      <c r="DB34" s="774"/>
      <c r="DC34" s="380">
        <v>0.0056</v>
      </c>
      <c r="DD34" s="770"/>
      <c r="DE34" s="775"/>
      <c r="DF34" s="370"/>
      <c r="DG34" s="774"/>
      <c r="DH34" s="380">
        <v>0</v>
      </c>
      <c r="DI34" s="770"/>
      <c r="DJ34" s="775"/>
    </row>
    <row r="35" spans="1:114" ht="12.75">
      <c r="A35" s="769">
        <v>16</v>
      </c>
      <c r="B35" s="380">
        <v>1247.4</v>
      </c>
      <c r="C35" s="770">
        <f>ROUND(B35+B36,3)</f>
        <v>2499</v>
      </c>
      <c r="D35" s="771">
        <f>ROUND((D33+C35/14000),4)</f>
        <v>2.1141</v>
      </c>
      <c r="E35" s="772">
        <v>16</v>
      </c>
      <c r="F35" s="390">
        <v>0</v>
      </c>
      <c r="G35" s="770">
        <f>ROUND((42000*(F35+F36)/2),3)</f>
        <v>0</v>
      </c>
      <c r="H35" s="773">
        <f>ROUND((H33+G35/14000),4)</f>
        <v>0</v>
      </c>
      <c r="I35" s="774">
        <v>16</v>
      </c>
      <c r="J35" s="380">
        <v>256.2</v>
      </c>
      <c r="K35" s="770">
        <f>ROUND((J35+J36),3)</f>
        <v>508.2</v>
      </c>
      <c r="L35" s="773">
        <f>ROUND((L33+K35/14000),4)</f>
        <v>0.4506</v>
      </c>
      <c r="M35" s="774">
        <v>16</v>
      </c>
      <c r="N35" s="380">
        <v>0</v>
      </c>
      <c r="O35" s="770">
        <f>ROUND((42000*(N35+N36)/2),3)</f>
        <v>0</v>
      </c>
      <c r="P35" s="773">
        <f>ROUND((P33+O35/14000),4)</f>
        <v>0</v>
      </c>
      <c r="R35" s="774">
        <v>16</v>
      </c>
      <c r="S35" s="614">
        <v>915.6</v>
      </c>
      <c r="T35" s="770">
        <f>ROUND((S35+S36),3)</f>
        <v>1814.4</v>
      </c>
      <c r="U35" s="775">
        <f>ROUND((U33+T35/14000),4)</f>
        <v>1.5297</v>
      </c>
      <c r="V35" s="774">
        <v>16</v>
      </c>
      <c r="W35" s="380">
        <v>0</v>
      </c>
      <c r="X35" s="770">
        <f>ROUND((42000*(W35+W36)/2),3)</f>
        <v>0</v>
      </c>
      <c r="Y35" s="775">
        <f>ROUND((Y33+X35/14000),4)</f>
        <v>0</v>
      </c>
      <c r="Z35" s="385"/>
      <c r="AA35" s="774">
        <v>16</v>
      </c>
      <c r="AB35" s="617">
        <v>79.8</v>
      </c>
      <c r="AC35" s="770">
        <f>ROUND((AB35+AB36),3)</f>
        <v>155.4</v>
      </c>
      <c r="AD35" s="775">
        <f>ROUND((AD33+AC35/14000),4)</f>
        <v>0.1029</v>
      </c>
      <c r="AE35" s="774">
        <v>16</v>
      </c>
      <c r="AF35" s="614">
        <v>0</v>
      </c>
      <c r="AG35" s="770">
        <f>ROUND((AF35+AF36),3)</f>
        <v>0</v>
      </c>
      <c r="AH35" s="775">
        <f>ROUND((AH33+AG35/14000),4)</f>
        <v>0.0705</v>
      </c>
      <c r="AJ35" s="776">
        <v>16</v>
      </c>
      <c r="AK35" s="391">
        <v>0.0364</v>
      </c>
      <c r="AL35" s="770">
        <f>ROUND((9600*(AK35+AK36)/2),3)</f>
        <v>331.2</v>
      </c>
      <c r="AM35" s="777">
        <f>ROUND((AM33+AL35/9600),4)</f>
        <v>0.4104</v>
      </c>
      <c r="AN35" s="368"/>
      <c r="AO35" s="776">
        <v>16</v>
      </c>
      <c r="AP35" s="380">
        <v>0</v>
      </c>
      <c r="AQ35" s="770">
        <f>ROUND((14000*(AP35+AP36)/2),3)</f>
        <v>0</v>
      </c>
      <c r="AR35" s="777">
        <f>ROUND((AR33+AQ35/9600),4)</f>
        <v>0</v>
      </c>
      <c r="AS35" s="387"/>
      <c r="AT35" s="776">
        <v>16</v>
      </c>
      <c r="AU35" s="391">
        <v>0.0074</v>
      </c>
      <c r="AV35" s="770">
        <f>ROUND((9600*(AU35+AU36)/2),3)</f>
        <v>72.96</v>
      </c>
      <c r="AW35" s="777">
        <f>ROUND((AW33+AV35/9600),4)</f>
        <v>0.0638</v>
      </c>
      <c r="AX35" s="370"/>
      <c r="AY35" s="774">
        <v>16</v>
      </c>
      <c r="AZ35" s="380">
        <v>0</v>
      </c>
      <c r="BA35" s="770">
        <f>ROUND((9600*(AZ35+AZ36)/2),3)</f>
        <v>0</v>
      </c>
      <c r="BB35" s="775">
        <f>ROUND((BB33+BA35/9600),4)</f>
        <v>0.0161</v>
      </c>
      <c r="BD35" s="776">
        <v>16</v>
      </c>
      <c r="BE35" s="391">
        <v>0.0008</v>
      </c>
      <c r="BF35" s="770">
        <f>ROUND((15*(BE35+BE36)/2),3)</f>
        <v>0.006</v>
      </c>
      <c r="BG35" s="777">
        <f>ROUND((BG33+BF35/15),4)</f>
        <v>0.0084</v>
      </c>
      <c r="BH35" s="368"/>
      <c r="BI35" s="774">
        <v>16</v>
      </c>
      <c r="BJ35" s="390">
        <v>0</v>
      </c>
      <c r="BK35" s="770">
        <f>ROUND((15*(BJ35+BJ36)/2),3)</f>
        <v>0</v>
      </c>
      <c r="BL35" s="775">
        <f>ROUND((BL33+BK35/15),4)</f>
        <v>0</v>
      </c>
      <c r="BM35" s="387"/>
      <c r="BN35" s="774">
        <v>16</v>
      </c>
      <c r="BO35" s="391">
        <v>0.0016</v>
      </c>
      <c r="BP35" s="770">
        <f>ROUND((15*(BO35+BO36)/2),3)</f>
        <v>0.03</v>
      </c>
      <c r="BQ35" s="775">
        <f>ROUND((BQ33+BP35/15),4)</f>
        <v>0.024</v>
      </c>
      <c r="BR35" s="370"/>
      <c r="BS35" s="774">
        <v>16</v>
      </c>
      <c r="BT35" s="380">
        <v>0</v>
      </c>
      <c r="BU35" s="770">
        <f>ROUND((15*(BT35+BT36)/2),3)</f>
        <v>0</v>
      </c>
      <c r="BV35" s="775">
        <f>ROUND((BV33+BU35/15),4)</f>
        <v>0</v>
      </c>
      <c r="BX35" s="776">
        <v>16</v>
      </c>
      <c r="BY35" s="386">
        <v>0.0494</v>
      </c>
      <c r="BZ35" s="770">
        <f>ROUND((9600*(BY35+BY36)/2),3)</f>
        <v>467.52</v>
      </c>
      <c r="CA35" s="777">
        <f>ROUND((CA33+BZ35/9600),4)</f>
        <v>0.6254</v>
      </c>
      <c r="CB35" s="368"/>
      <c r="CC35" s="776">
        <v>16</v>
      </c>
      <c r="CD35" s="380">
        <v>0</v>
      </c>
      <c r="CE35" s="770">
        <f>ROUND((14000*(CD35+CD36)/2),3)</f>
        <v>0</v>
      </c>
      <c r="CF35" s="777">
        <f>ROUND((CF33+CE35/9600),4)</f>
        <v>0</v>
      </c>
      <c r="CG35" s="387"/>
      <c r="CH35" s="776">
        <v>16</v>
      </c>
      <c r="CI35" s="386">
        <v>0.0134</v>
      </c>
      <c r="CJ35" s="770">
        <f>ROUND((9600*(CI35+CI36)/2),3)</f>
        <v>131.52</v>
      </c>
      <c r="CK35" s="777">
        <f>ROUND((CK33+CJ35/9600),4)</f>
        <v>0.1716</v>
      </c>
      <c r="CL35" s="370"/>
      <c r="CM35" s="774">
        <v>16</v>
      </c>
      <c r="CN35" s="380">
        <v>0</v>
      </c>
      <c r="CO35" s="770">
        <f>ROUND((9600*(CN35+CN36)/2),3)</f>
        <v>0</v>
      </c>
      <c r="CP35" s="775">
        <f>ROUND((CP33+CO35/9600),4)</f>
        <v>0</v>
      </c>
      <c r="CQ35" s="370"/>
      <c r="CR35" s="776">
        <v>16</v>
      </c>
      <c r="CS35" s="380">
        <v>0.0064</v>
      </c>
      <c r="CT35" s="770">
        <f>ROUND((15*(CS35+CS36)/2),3)</f>
        <v>0.096</v>
      </c>
      <c r="CU35" s="777">
        <f>ROUND((CU33+CT35/15),4)</f>
        <v>0.0916</v>
      </c>
      <c r="CV35" s="368"/>
      <c r="CW35" s="774">
        <v>16</v>
      </c>
      <c r="CX35" s="390">
        <v>0</v>
      </c>
      <c r="CY35" s="770">
        <f>ROUND((15*(CX35+CX36)/2),3)</f>
        <v>0</v>
      </c>
      <c r="CZ35" s="775">
        <f>ROUND((CZ33+CY35/15),4)</f>
        <v>0</v>
      </c>
      <c r="DA35" s="387"/>
      <c r="DB35" s="774">
        <v>16</v>
      </c>
      <c r="DC35" s="380">
        <v>0.0056</v>
      </c>
      <c r="DD35" s="770">
        <f>ROUND((15*(DC35+DC36)/2),3)</f>
        <v>0.084</v>
      </c>
      <c r="DE35" s="775">
        <f>ROUND((DE33+DD35/15),4)</f>
        <v>0.0804</v>
      </c>
      <c r="DF35" s="370"/>
      <c r="DG35" s="774">
        <v>16</v>
      </c>
      <c r="DH35" s="380">
        <v>0</v>
      </c>
      <c r="DI35" s="770">
        <f>ROUND((15*(DH35+DH36)/2),3)</f>
        <v>0</v>
      </c>
      <c r="DJ35" s="775">
        <f>ROUND((DJ33+DI35/15),4)</f>
        <v>0</v>
      </c>
    </row>
    <row r="36" spans="1:114" ht="12.75">
      <c r="A36" s="769"/>
      <c r="B36" s="380">
        <v>1251.6</v>
      </c>
      <c r="C36" s="770"/>
      <c r="D36" s="771"/>
      <c r="E36" s="772"/>
      <c r="F36" s="390">
        <v>0</v>
      </c>
      <c r="G36" s="770"/>
      <c r="H36" s="773"/>
      <c r="I36" s="774"/>
      <c r="J36" s="380">
        <v>252</v>
      </c>
      <c r="K36" s="770"/>
      <c r="L36" s="773"/>
      <c r="M36" s="774"/>
      <c r="N36" s="380">
        <v>0</v>
      </c>
      <c r="O36" s="770"/>
      <c r="P36" s="773"/>
      <c r="R36" s="774"/>
      <c r="S36" s="614">
        <v>898.8</v>
      </c>
      <c r="T36" s="770"/>
      <c r="U36" s="775"/>
      <c r="V36" s="774"/>
      <c r="W36" s="380">
        <v>0</v>
      </c>
      <c r="X36" s="770"/>
      <c r="Y36" s="775"/>
      <c r="Z36" s="385"/>
      <c r="AA36" s="774"/>
      <c r="AB36" s="617">
        <v>75.6</v>
      </c>
      <c r="AC36" s="770"/>
      <c r="AD36" s="775"/>
      <c r="AE36" s="774"/>
      <c r="AF36" s="614">
        <v>0</v>
      </c>
      <c r="AG36" s="770"/>
      <c r="AH36" s="775"/>
      <c r="AJ36" s="776"/>
      <c r="AK36" s="391">
        <v>0.0326</v>
      </c>
      <c r="AL36" s="770"/>
      <c r="AM36" s="777"/>
      <c r="AN36" s="368"/>
      <c r="AO36" s="776"/>
      <c r="AP36" s="380">
        <v>0</v>
      </c>
      <c r="AQ36" s="770"/>
      <c r="AR36" s="777"/>
      <c r="AS36" s="387"/>
      <c r="AT36" s="776"/>
      <c r="AU36" s="391">
        <v>0.0078</v>
      </c>
      <c r="AV36" s="770"/>
      <c r="AW36" s="777"/>
      <c r="AX36" s="370"/>
      <c r="AY36" s="774"/>
      <c r="AZ36" s="380">
        <v>0</v>
      </c>
      <c r="BA36" s="770"/>
      <c r="BB36" s="775"/>
      <c r="BD36" s="776"/>
      <c r="BE36" s="391">
        <v>0</v>
      </c>
      <c r="BF36" s="770"/>
      <c r="BG36" s="777"/>
      <c r="BH36" s="368"/>
      <c r="BI36" s="774"/>
      <c r="BJ36" s="390">
        <v>0</v>
      </c>
      <c r="BK36" s="770"/>
      <c r="BL36" s="775"/>
      <c r="BM36" s="387"/>
      <c r="BN36" s="774"/>
      <c r="BO36" s="391">
        <v>0.0024</v>
      </c>
      <c r="BP36" s="770"/>
      <c r="BQ36" s="775"/>
      <c r="BR36" s="370"/>
      <c r="BS36" s="774"/>
      <c r="BT36" s="380">
        <v>0</v>
      </c>
      <c r="BU36" s="770"/>
      <c r="BV36" s="775"/>
      <c r="BX36" s="776"/>
      <c r="BY36" s="386">
        <v>0.048</v>
      </c>
      <c r="BZ36" s="770"/>
      <c r="CA36" s="777"/>
      <c r="CB36" s="368"/>
      <c r="CC36" s="776"/>
      <c r="CD36" s="380">
        <v>0</v>
      </c>
      <c r="CE36" s="770"/>
      <c r="CF36" s="777"/>
      <c r="CG36" s="387"/>
      <c r="CH36" s="776"/>
      <c r="CI36" s="386">
        <v>0.014</v>
      </c>
      <c r="CJ36" s="770"/>
      <c r="CK36" s="777"/>
      <c r="CL36" s="370"/>
      <c r="CM36" s="774"/>
      <c r="CN36" s="380">
        <v>0</v>
      </c>
      <c r="CO36" s="770"/>
      <c r="CP36" s="775"/>
      <c r="CQ36" s="370"/>
      <c r="CR36" s="776"/>
      <c r="CS36" s="380">
        <v>0.0064</v>
      </c>
      <c r="CT36" s="770"/>
      <c r="CU36" s="777"/>
      <c r="CV36" s="368"/>
      <c r="CW36" s="774"/>
      <c r="CX36" s="390">
        <v>0</v>
      </c>
      <c r="CY36" s="770"/>
      <c r="CZ36" s="775"/>
      <c r="DA36" s="387"/>
      <c r="DB36" s="774"/>
      <c r="DC36" s="380">
        <v>0.0056</v>
      </c>
      <c r="DD36" s="770"/>
      <c r="DE36" s="775"/>
      <c r="DF36" s="370"/>
      <c r="DG36" s="774"/>
      <c r="DH36" s="380">
        <v>0</v>
      </c>
      <c r="DI36" s="770"/>
      <c r="DJ36" s="775"/>
    </row>
    <row r="37" spans="1:114" ht="12.75">
      <c r="A37" s="769">
        <v>17</v>
      </c>
      <c r="B37" s="380">
        <v>1260</v>
      </c>
      <c r="C37" s="770">
        <f>ROUND(B37+B38,3)</f>
        <v>2532.6</v>
      </c>
      <c r="D37" s="771">
        <f>ROUND((D35+C37/14000),4)</f>
        <v>2.295</v>
      </c>
      <c r="E37" s="772">
        <v>17</v>
      </c>
      <c r="F37" s="390">
        <v>0</v>
      </c>
      <c r="G37" s="770">
        <f>ROUND((42000*(F37+F38)/2),3)</f>
        <v>0</v>
      </c>
      <c r="H37" s="773">
        <f>ROUND((H35+G37/14000),4)</f>
        <v>0</v>
      </c>
      <c r="I37" s="774">
        <v>17</v>
      </c>
      <c r="J37" s="380">
        <v>252</v>
      </c>
      <c r="K37" s="770">
        <f>ROUND((J37+J38),3)</f>
        <v>499.8</v>
      </c>
      <c r="L37" s="773">
        <f>ROUND((L35+K37/14000),4)</f>
        <v>0.4863</v>
      </c>
      <c r="M37" s="774">
        <v>17</v>
      </c>
      <c r="N37" s="380">
        <v>0</v>
      </c>
      <c r="O37" s="770">
        <f>ROUND((42000*(N37+N38)/2),3)</f>
        <v>0</v>
      </c>
      <c r="P37" s="773">
        <f>ROUND((P35+O37/14000),4)</f>
        <v>0</v>
      </c>
      <c r="R37" s="774">
        <v>17</v>
      </c>
      <c r="S37" s="614">
        <v>919.8</v>
      </c>
      <c r="T37" s="770">
        <f>ROUND((S37+S38),3)</f>
        <v>1864.8</v>
      </c>
      <c r="U37" s="775">
        <f>ROUND((U35+T37/14000),4)</f>
        <v>1.6629</v>
      </c>
      <c r="V37" s="774">
        <v>17</v>
      </c>
      <c r="W37" s="380">
        <v>0</v>
      </c>
      <c r="X37" s="770">
        <f>ROUND((42000*(W37+W38)/2),3)</f>
        <v>0</v>
      </c>
      <c r="Y37" s="775">
        <f>ROUND((Y35+X37/14000),4)</f>
        <v>0</v>
      </c>
      <c r="Z37" s="385"/>
      <c r="AA37" s="774">
        <v>17</v>
      </c>
      <c r="AB37" s="617">
        <v>75.6</v>
      </c>
      <c r="AC37" s="770">
        <f>ROUND((AB37+AB38),3)</f>
        <v>147</v>
      </c>
      <c r="AD37" s="775">
        <f>ROUND((AD35+AC37/14000),4)</f>
        <v>0.1134</v>
      </c>
      <c r="AE37" s="774">
        <v>17</v>
      </c>
      <c r="AF37" s="614">
        <v>0</v>
      </c>
      <c r="AG37" s="770">
        <f>ROUND((AF37+AF38),3)</f>
        <v>0</v>
      </c>
      <c r="AH37" s="775">
        <f>ROUND((AH35+AG37/14000),4)</f>
        <v>0.0705</v>
      </c>
      <c r="AJ37" s="776">
        <v>17</v>
      </c>
      <c r="AK37" s="391">
        <v>0.0284</v>
      </c>
      <c r="AL37" s="770">
        <f>ROUND((9600*(AK37+AK38)/2),3)</f>
        <v>268.8</v>
      </c>
      <c r="AM37" s="777">
        <f>ROUND((AM35+AL37/9600),4)</f>
        <v>0.4384</v>
      </c>
      <c r="AN37" s="368"/>
      <c r="AO37" s="776">
        <v>17</v>
      </c>
      <c r="AP37" s="380">
        <v>0</v>
      </c>
      <c r="AQ37" s="770">
        <f>ROUND((14000*(AP37+AP38)/2),3)</f>
        <v>0</v>
      </c>
      <c r="AR37" s="777">
        <f>ROUND((AR35+AQ37/9600),4)</f>
        <v>0</v>
      </c>
      <c r="AS37" s="387"/>
      <c r="AT37" s="776">
        <v>17</v>
      </c>
      <c r="AU37" s="391">
        <v>0.0072</v>
      </c>
      <c r="AV37" s="770">
        <f>ROUND((9600*(AU37+AU38)/2),3)</f>
        <v>64.32</v>
      </c>
      <c r="AW37" s="777">
        <f>ROUND((AW35+AV37/9600),4)</f>
        <v>0.0705</v>
      </c>
      <c r="AX37" s="370"/>
      <c r="AY37" s="774">
        <v>17</v>
      </c>
      <c r="AZ37" s="380">
        <v>0</v>
      </c>
      <c r="BA37" s="770">
        <f>ROUND((9600*(AZ37+AZ38)/2),3)</f>
        <v>0</v>
      </c>
      <c r="BB37" s="775">
        <f>ROUND((BB35+BA37/9600),4)</f>
        <v>0.0161</v>
      </c>
      <c r="BD37" s="776">
        <v>17</v>
      </c>
      <c r="BE37" s="391">
        <v>0.0008</v>
      </c>
      <c r="BF37" s="770">
        <f>ROUND((15*(BE37+BE38)/2),3)</f>
        <v>0.012</v>
      </c>
      <c r="BG37" s="777">
        <f>ROUND((BG35+BF37/15),4)</f>
        <v>0.0092</v>
      </c>
      <c r="BH37" s="368"/>
      <c r="BI37" s="774">
        <v>17</v>
      </c>
      <c r="BJ37" s="390">
        <v>0</v>
      </c>
      <c r="BK37" s="770">
        <f>ROUND((15*(BJ37+BJ38)/2),3)</f>
        <v>0</v>
      </c>
      <c r="BL37" s="775">
        <f>ROUND((BL35+BK37/15),4)</f>
        <v>0</v>
      </c>
      <c r="BM37" s="387"/>
      <c r="BN37" s="774">
        <v>17</v>
      </c>
      <c r="BO37" s="391">
        <v>0.0016</v>
      </c>
      <c r="BP37" s="770">
        <f>ROUND((15*(BO37+BO38)/2),3)</f>
        <v>0.024</v>
      </c>
      <c r="BQ37" s="775">
        <f>ROUND((BQ35+BP37/15),4)</f>
        <v>0.0256</v>
      </c>
      <c r="BR37" s="370"/>
      <c r="BS37" s="774">
        <v>17</v>
      </c>
      <c r="BT37" s="380">
        <v>0</v>
      </c>
      <c r="BU37" s="770">
        <f>ROUND((15*(BT37+BT38)/2),3)</f>
        <v>0</v>
      </c>
      <c r="BV37" s="775">
        <f>ROUND((BV35+BU37/15),4)</f>
        <v>0</v>
      </c>
      <c r="BX37" s="776">
        <v>17</v>
      </c>
      <c r="BY37" s="386">
        <v>0.0502</v>
      </c>
      <c r="BZ37" s="770">
        <f>ROUND((9600*(BY37+BY38)/2),3)</f>
        <v>481.92</v>
      </c>
      <c r="CA37" s="777">
        <f>ROUND((CA35+BZ37/9600),4)</f>
        <v>0.6756</v>
      </c>
      <c r="CB37" s="368"/>
      <c r="CC37" s="776">
        <v>17</v>
      </c>
      <c r="CD37" s="380">
        <v>0</v>
      </c>
      <c r="CE37" s="770">
        <f>ROUND((14000*(CD37+CD38)/2),3)</f>
        <v>0</v>
      </c>
      <c r="CF37" s="777">
        <f>ROUND((CF35+CE37/9600),4)</f>
        <v>0</v>
      </c>
      <c r="CG37" s="387"/>
      <c r="CH37" s="776">
        <v>17</v>
      </c>
      <c r="CI37" s="386">
        <v>0.0138</v>
      </c>
      <c r="CJ37" s="770">
        <f>ROUND((9600*(CI37+CI38)/2),3)</f>
        <v>130.56</v>
      </c>
      <c r="CK37" s="777">
        <f>ROUND((CK35+CJ37/9600),4)</f>
        <v>0.1852</v>
      </c>
      <c r="CL37" s="370"/>
      <c r="CM37" s="774">
        <v>17</v>
      </c>
      <c r="CN37" s="380">
        <v>0</v>
      </c>
      <c r="CO37" s="770">
        <f>ROUND((9600*(CN37+CN38)/2),3)</f>
        <v>0</v>
      </c>
      <c r="CP37" s="775">
        <f>ROUND((CP35+CO37/9600),4)</f>
        <v>0</v>
      </c>
      <c r="CQ37" s="370"/>
      <c r="CR37" s="776">
        <v>17</v>
      </c>
      <c r="CS37" s="380">
        <v>0.0064</v>
      </c>
      <c r="CT37" s="770">
        <f>ROUND((15*(CS37+CS38)/2),3)</f>
        <v>0.096</v>
      </c>
      <c r="CU37" s="777">
        <f>ROUND((CU35+CT37/15),4)</f>
        <v>0.098</v>
      </c>
      <c r="CV37" s="368"/>
      <c r="CW37" s="774">
        <v>17</v>
      </c>
      <c r="CX37" s="390">
        <v>0</v>
      </c>
      <c r="CY37" s="770">
        <f>ROUND((15*(CX37+CX38)/2),3)</f>
        <v>0</v>
      </c>
      <c r="CZ37" s="775">
        <f>ROUND((CZ35+CY37/15),4)</f>
        <v>0</v>
      </c>
      <c r="DA37" s="387"/>
      <c r="DB37" s="774">
        <v>17</v>
      </c>
      <c r="DC37" s="380">
        <v>0.0056</v>
      </c>
      <c r="DD37" s="770">
        <f>ROUND((15*(DC37+DC38)/2),3)</f>
        <v>0.09</v>
      </c>
      <c r="DE37" s="775">
        <f>ROUND((DE35+DD37/15),4)</f>
        <v>0.0864</v>
      </c>
      <c r="DF37" s="370"/>
      <c r="DG37" s="774">
        <v>17</v>
      </c>
      <c r="DH37" s="380">
        <v>0</v>
      </c>
      <c r="DI37" s="770">
        <f>ROUND((15*(DH37+DH38)/2),3)</f>
        <v>0</v>
      </c>
      <c r="DJ37" s="775">
        <f>ROUND((DJ35+DI37/15),4)</f>
        <v>0</v>
      </c>
    </row>
    <row r="38" spans="1:114" ht="12.75">
      <c r="A38" s="769"/>
      <c r="B38" s="380">
        <v>1272.6</v>
      </c>
      <c r="C38" s="770"/>
      <c r="D38" s="771"/>
      <c r="E38" s="772"/>
      <c r="F38" s="390">
        <v>0</v>
      </c>
      <c r="G38" s="770"/>
      <c r="H38" s="773"/>
      <c r="I38" s="774"/>
      <c r="J38" s="380">
        <v>247.8</v>
      </c>
      <c r="K38" s="770"/>
      <c r="L38" s="773"/>
      <c r="M38" s="774"/>
      <c r="N38" s="380">
        <v>0</v>
      </c>
      <c r="O38" s="770"/>
      <c r="P38" s="773"/>
      <c r="R38" s="774"/>
      <c r="S38" s="614">
        <v>945</v>
      </c>
      <c r="T38" s="770"/>
      <c r="U38" s="775"/>
      <c r="V38" s="774"/>
      <c r="W38" s="380">
        <v>0</v>
      </c>
      <c r="X38" s="770"/>
      <c r="Y38" s="775"/>
      <c r="Z38" s="385"/>
      <c r="AA38" s="774"/>
      <c r="AB38" s="617">
        <v>71.4</v>
      </c>
      <c r="AC38" s="770"/>
      <c r="AD38" s="775"/>
      <c r="AE38" s="774"/>
      <c r="AF38" s="614">
        <v>0</v>
      </c>
      <c r="AG38" s="770"/>
      <c r="AH38" s="775"/>
      <c r="AJ38" s="776"/>
      <c r="AK38" s="391">
        <v>0.0276</v>
      </c>
      <c r="AL38" s="770"/>
      <c r="AM38" s="777"/>
      <c r="AN38" s="368"/>
      <c r="AO38" s="776"/>
      <c r="AP38" s="380">
        <v>0</v>
      </c>
      <c r="AQ38" s="770"/>
      <c r="AR38" s="777"/>
      <c r="AS38" s="387"/>
      <c r="AT38" s="776"/>
      <c r="AU38" s="391">
        <v>0.0062</v>
      </c>
      <c r="AV38" s="770"/>
      <c r="AW38" s="777"/>
      <c r="AX38" s="370"/>
      <c r="AY38" s="774"/>
      <c r="AZ38" s="380">
        <v>0</v>
      </c>
      <c r="BA38" s="770"/>
      <c r="BB38" s="775"/>
      <c r="BD38" s="776"/>
      <c r="BE38" s="391">
        <v>0.0008</v>
      </c>
      <c r="BF38" s="770"/>
      <c r="BG38" s="777"/>
      <c r="BH38" s="368"/>
      <c r="BI38" s="774"/>
      <c r="BJ38" s="390">
        <v>0</v>
      </c>
      <c r="BK38" s="770"/>
      <c r="BL38" s="775"/>
      <c r="BM38" s="387"/>
      <c r="BN38" s="774"/>
      <c r="BO38" s="391">
        <v>0.0016</v>
      </c>
      <c r="BP38" s="770"/>
      <c r="BQ38" s="775"/>
      <c r="BR38" s="370"/>
      <c r="BS38" s="774"/>
      <c r="BT38" s="380">
        <v>0</v>
      </c>
      <c r="BU38" s="770"/>
      <c r="BV38" s="775"/>
      <c r="BX38" s="776"/>
      <c r="BY38" s="386">
        <v>0.0502</v>
      </c>
      <c r="BZ38" s="770"/>
      <c r="CA38" s="777"/>
      <c r="CB38" s="368"/>
      <c r="CC38" s="776"/>
      <c r="CD38" s="380">
        <v>0</v>
      </c>
      <c r="CE38" s="770"/>
      <c r="CF38" s="777"/>
      <c r="CG38" s="387"/>
      <c r="CH38" s="776"/>
      <c r="CI38" s="386">
        <v>0.0134</v>
      </c>
      <c r="CJ38" s="770"/>
      <c r="CK38" s="777"/>
      <c r="CL38" s="370"/>
      <c r="CM38" s="774"/>
      <c r="CN38" s="380">
        <v>0</v>
      </c>
      <c r="CO38" s="770"/>
      <c r="CP38" s="775"/>
      <c r="CQ38" s="370"/>
      <c r="CR38" s="776"/>
      <c r="CS38" s="380">
        <v>0.0064</v>
      </c>
      <c r="CT38" s="770"/>
      <c r="CU38" s="777"/>
      <c r="CV38" s="368"/>
      <c r="CW38" s="774"/>
      <c r="CX38" s="390">
        <v>0</v>
      </c>
      <c r="CY38" s="770"/>
      <c r="CZ38" s="775"/>
      <c r="DA38" s="387"/>
      <c r="DB38" s="774"/>
      <c r="DC38" s="380">
        <v>0.0064</v>
      </c>
      <c r="DD38" s="770"/>
      <c r="DE38" s="775"/>
      <c r="DF38" s="370"/>
      <c r="DG38" s="774"/>
      <c r="DH38" s="380">
        <v>0</v>
      </c>
      <c r="DI38" s="770"/>
      <c r="DJ38" s="775"/>
    </row>
    <row r="39" spans="1:114" ht="12.75">
      <c r="A39" s="769">
        <v>18</v>
      </c>
      <c r="B39" s="380">
        <v>1302</v>
      </c>
      <c r="C39" s="770">
        <f>ROUND(B39+B40,3)</f>
        <v>2608.2</v>
      </c>
      <c r="D39" s="771">
        <f>ROUND((D37+C39/14000),4)</f>
        <v>2.4813</v>
      </c>
      <c r="E39" s="772">
        <v>18</v>
      </c>
      <c r="F39" s="390">
        <v>0</v>
      </c>
      <c r="G39" s="770">
        <f>ROUND((42000*(F39+F40)/2),3)</f>
        <v>0</v>
      </c>
      <c r="H39" s="773">
        <f>ROUND((H37+G39/14000),4)</f>
        <v>0</v>
      </c>
      <c r="I39" s="774">
        <v>18</v>
      </c>
      <c r="J39" s="380">
        <v>247.8</v>
      </c>
      <c r="K39" s="770">
        <f>ROUND((J39+J40),3)</f>
        <v>487.2</v>
      </c>
      <c r="L39" s="773">
        <f>ROUND((L37+K39/14000),4)</f>
        <v>0.5211</v>
      </c>
      <c r="M39" s="774">
        <v>18</v>
      </c>
      <c r="N39" s="380">
        <v>0</v>
      </c>
      <c r="O39" s="770">
        <f>ROUND((42000*(N39+N40)/2),3)</f>
        <v>0</v>
      </c>
      <c r="P39" s="773">
        <f>ROUND((P37+O39/14000),4)</f>
        <v>0</v>
      </c>
      <c r="R39" s="774">
        <v>18</v>
      </c>
      <c r="S39" s="614">
        <v>961.8</v>
      </c>
      <c r="T39" s="770">
        <f>ROUND((S39+S40),3)</f>
        <v>1948.8</v>
      </c>
      <c r="U39" s="775">
        <f>ROUND((U37+T39/14000),4)</f>
        <v>1.8021</v>
      </c>
      <c r="V39" s="774">
        <v>18</v>
      </c>
      <c r="W39" s="380">
        <v>0</v>
      </c>
      <c r="X39" s="770">
        <f>ROUND((42000*(W39+W40)/2),3)</f>
        <v>0</v>
      </c>
      <c r="Y39" s="775">
        <f>ROUND((Y37+X39/14000),4)</f>
        <v>0</v>
      </c>
      <c r="Z39" s="385"/>
      <c r="AA39" s="774">
        <v>18</v>
      </c>
      <c r="AB39" s="617">
        <v>67.2</v>
      </c>
      <c r="AC39" s="770">
        <f>ROUND((AB39+AB40),3)</f>
        <v>134.4</v>
      </c>
      <c r="AD39" s="775">
        <f>ROUND((AD37+AC39/14000),4)</f>
        <v>0.123</v>
      </c>
      <c r="AE39" s="774">
        <v>18</v>
      </c>
      <c r="AF39" s="614">
        <v>0</v>
      </c>
      <c r="AG39" s="770">
        <f>ROUND((AF39+AF40),3)</f>
        <v>0</v>
      </c>
      <c r="AH39" s="775">
        <f>ROUND((AH37+AG39/14000),4)</f>
        <v>0.0705</v>
      </c>
      <c r="AJ39" s="776">
        <v>18</v>
      </c>
      <c r="AK39" s="391">
        <v>0.0278</v>
      </c>
      <c r="AL39" s="770">
        <f>ROUND((9600*(AK39+AK40)/2),3)</f>
        <v>263.04</v>
      </c>
      <c r="AM39" s="777">
        <f>ROUND((AM37+AL39/9600),4)</f>
        <v>0.4658</v>
      </c>
      <c r="AN39" s="368"/>
      <c r="AO39" s="776">
        <v>18</v>
      </c>
      <c r="AP39" s="380">
        <v>0</v>
      </c>
      <c r="AQ39" s="770">
        <f>ROUND((14000*(AP39+AP40)/2),3)</f>
        <v>0</v>
      </c>
      <c r="AR39" s="777">
        <f>ROUND((AR37+AQ39/9600),4)</f>
        <v>0</v>
      </c>
      <c r="AS39" s="387"/>
      <c r="AT39" s="776">
        <v>18</v>
      </c>
      <c r="AU39" s="391">
        <v>0.0066</v>
      </c>
      <c r="AV39" s="770">
        <f>ROUND((9600*(AU39+AU40)/2),3)</f>
        <v>58.56</v>
      </c>
      <c r="AW39" s="777">
        <f>ROUND((AW37+AV39/9600),4)</f>
        <v>0.0766</v>
      </c>
      <c r="AX39" s="370"/>
      <c r="AY39" s="774">
        <v>18</v>
      </c>
      <c r="AZ39" s="380">
        <v>0</v>
      </c>
      <c r="BA39" s="770">
        <f>ROUND((9600*(AZ39+AZ40)/2),3)</f>
        <v>0.96</v>
      </c>
      <c r="BB39" s="775">
        <f>ROUND((BB37+BA39/9600),4)</f>
        <v>0.0162</v>
      </c>
      <c r="BD39" s="776">
        <v>18</v>
      </c>
      <c r="BE39" s="391">
        <v>0.0008</v>
      </c>
      <c r="BF39" s="770">
        <f>ROUND((15*(BE39+BE40)/2),3)</f>
        <v>0.012</v>
      </c>
      <c r="BG39" s="777">
        <f>ROUND((BG37+BF39/15),4)</f>
        <v>0.01</v>
      </c>
      <c r="BH39" s="368"/>
      <c r="BI39" s="774">
        <v>18</v>
      </c>
      <c r="BJ39" s="390">
        <v>0</v>
      </c>
      <c r="BK39" s="770">
        <f>ROUND((15*(BJ39+BJ40)/2),3)</f>
        <v>0</v>
      </c>
      <c r="BL39" s="775">
        <f>ROUND((BL37+BK39/15),4)</f>
        <v>0</v>
      </c>
      <c r="BM39" s="387"/>
      <c r="BN39" s="774">
        <v>18</v>
      </c>
      <c r="BO39" s="391">
        <v>0.0016</v>
      </c>
      <c r="BP39" s="770">
        <f>ROUND((15*(BO39+BO40)/2),3)</f>
        <v>0.024</v>
      </c>
      <c r="BQ39" s="775">
        <f>ROUND((BQ37+BP39/15),4)</f>
        <v>0.0272</v>
      </c>
      <c r="BR39" s="370"/>
      <c r="BS39" s="774">
        <v>18</v>
      </c>
      <c r="BT39" s="380">
        <v>0</v>
      </c>
      <c r="BU39" s="770">
        <f>ROUND((15*(BT39+BT40)/2),3)</f>
        <v>0</v>
      </c>
      <c r="BV39" s="775">
        <f>ROUND((BV37+BU39/15),4)</f>
        <v>0</v>
      </c>
      <c r="BX39" s="776">
        <v>18</v>
      </c>
      <c r="BY39" s="386">
        <v>0.048</v>
      </c>
      <c r="BZ39" s="770">
        <f>ROUND((9600*(BY39+BY40)/2),3)</f>
        <v>463.68</v>
      </c>
      <c r="CA39" s="777">
        <f>ROUND((CA37+BZ39/9600),4)</f>
        <v>0.7239</v>
      </c>
      <c r="CB39" s="368"/>
      <c r="CC39" s="776">
        <v>18</v>
      </c>
      <c r="CD39" s="380">
        <v>0</v>
      </c>
      <c r="CE39" s="770">
        <f>ROUND((14000*(CD39+CD40)/2),3)</f>
        <v>0</v>
      </c>
      <c r="CF39" s="777">
        <f>ROUND((CF37+CE39/9600),4)</f>
        <v>0</v>
      </c>
      <c r="CG39" s="387"/>
      <c r="CH39" s="776">
        <v>18</v>
      </c>
      <c r="CI39" s="386">
        <v>0.0132</v>
      </c>
      <c r="CJ39" s="770">
        <f>ROUND((9600*(CI39+CI40)/2),3)</f>
        <v>125.76</v>
      </c>
      <c r="CK39" s="777">
        <f>ROUND((CK37+CJ39/9600),4)</f>
        <v>0.1983</v>
      </c>
      <c r="CL39" s="370"/>
      <c r="CM39" s="774">
        <v>18</v>
      </c>
      <c r="CN39" s="380">
        <v>0</v>
      </c>
      <c r="CO39" s="770">
        <f>ROUND((9600*(CN39+CN40)/2),3)</f>
        <v>0</v>
      </c>
      <c r="CP39" s="775">
        <f>ROUND((CP37+CO39/9600),4)</f>
        <v>0</v>
      </c>
      <c r="CQ39" s="370"/>
      <c r="CR39" s="776">
        <v>18</v>
      </c>
      <c r="CS39" s="380">
        <v>0.0072</v>
      </c>
      <c r="CT39" s="770">
        <f>ROUND((15*(CS39+CS40)/2),3)</f>
        <v>0.102</v>
      </c>
      <c r="CU39" s="777">
        <f>ROUND((CU37+CT39/15),4)</f>
        <v>0.1048</v>
      </c>
      <c r="CV39" s="368"/>
      <c r="CW39" s="774">
        <v>18</v>
      </c>
      <c r="CX39" s="390">
        <v>0</v>
      </c>
      <c r="CY39" s="770">
        <f>ROUND((15*(CX39+CX40)/2),3)</f>
        <v>0</v>
      </c>
      <c r="CZ39" s="775">
        <f>ROUND((CZ37+CY39/15),4)</f>
        <v>0</v>
      </c>
      <c r="DA39" s="387"/>
      <c r="DB39" s="774">
        <v>18</v>
      </c>
      <c r="DC39" s="380">
        <v>0.0056</v>
      </c>
      <c r="DD39" s="770">
        <f>ROUND((15*(DC39+DC40)/2),3)</f>
        <v>0.084</v>
      </c>
      <c r="DE39" s="775">
        <f>ROUND((DE37+DD39/15),4)</f>
        <v>0.092</v>
      </c>
      <c r="DF39" s="370"/>
      <c r="DG39" s="774">
        <v>18</v>
      </c>
      <c r="DH39" s="380">
        <v>0</v>
      </c>
      <c r="DI39" s="770">
        <f>ROUND((15*(DH39+DH40)/2),3)</f>
        <v>0</v>
      </c>
      <c r="DJ39" s="775">
        <f>ROUND((DJ37+DI39/15),4)</f>
        <v>0</v>
      </c>
    </row>
    <row r="40" spans="1:114" ht="12.75">
      <c r="A40" s="769"/>
      <c r="B40" s="380">
        <v>1306.2</v>
      </c>
      <c r="C40" s="770"/>
      <c r="D40" s="771"/>
      <c r="E40" s="772"/>
      <c r="F40" s="390">
        <v>0</v>
      </c>
      <c r="G40" s="770"/>
      <c r="H40" s="773"/>
      <c r="I40" s="774"/>
      <c r="J40" s="380">
        <v>239.4</v>
      </c>
      <c r="K40" s="770"/>
      <c r="L40" s="773"/>
      <c r="M40" s="774"/>
      <c r="N40" s="380">
        <v>0</v>
      </c>
      <c r="O40" s="770"/>
      <c r="P40" s="773"/>
      <c r="R40" s="774"/>
      <c r="S40" s="614">
        <v>987</v>
      </c>
      <c r="T40" s="770"/>
      <c r="U40" s="775"/>
      <c r="V40" s="774"/>
      <c r="W40" s="380">
        <v>0</v>
      </c>
      <c r="X40" s="770"/>
      <c r="Y40" s="775"/>
      <c r="Z40" s="385"/>
      <c r="AA40" s="774"/>
      <c r="AB40" s="617">
        <v>67.2</v>
      </c>
      <c r="AC40" s="770"/>
      <c r="AD40" s="775"/>
      <c r="AE40" s="774"/>
      <c r="AF40" s="614">
        <v>0</v>
      </c>
      <c r="AG40" s="770"/>
      <c r="AH40" s="775"/>
      <c r="AJ40" s="776"/>
      <c r="AK40" s="391">
        <v>0.027</v>
      </c>
      <c r="AL40" s="770"/>
      <c r="AM40" s="777"/>
      <c r="AN40" s="368"/>
      <c r="AO40" s="776"/>
      <c r="AP40" s="380">
        <v>0</v>
      </c>
      <c r="AQ40" s="770"/>
      <c r="AR40" s="777"/>
      <c r="AS40" s="387"/>
      <c r="AT40" s="776"/>
      <c r="AU40" s="391">
        <v>0.0056</v>
      </c>
      <c r="AV40" s="770"/>
      <c r="AW40" s="777"/>
      <c r="AX40" s="370"/>
      <c r="AY40" s="774"/>
      <c r="AZ40" s="380">
        <v>0.0002</v>
      </c>
      <c r="BA40" s="770"/>
      <c r="BB40" s="775"/>
      <c r="BD40" s="776"/>
      <c r="BE40" s="391">
        <v>0.0008</v>
      </c>
      <c r="BF40" s="770"/>
      <c r="BG40" s="777"/>
      <c r="BH40" s="368"/>
      <c r="BI40" s="774"/>
      <c r="BJ40" s="390">
        <v>0</v>
      </c>
      <c r="BK40" s="770"/>
      <c r="BL40" s="775"/>
      <c r="BM40" s="387"/>
      <c r="BN40" s="774"/>
      <c r="BO40" s="391">
        <v>0.0016</v>
      </c>
      <c r="BP40" s="770"/>
      <c r="BQ40" s="775"/>
      <c r="BR40" s="370"/>
      <c r="BS40" s="774"/>
      <c r="BT40" s="380">
        <v>0</v>
      </c>
      <c r="BU40" s="770"/>
      <c r="BV40" s="775"/>
      <c r="BX40" s="776"/>
      <c r="BY40" s="386">
        <v>0.0486</v>
      </c>
      <c r="BZ40" s="770"/>
      <c r="CA40" s="777"/>
      <c r="CB40" s="368"/>
      <c r="CC40" s="776"/>
      <c r="CD40" s="380">
        <v>0</v>
      </c>
      <c r="CE40" s="770"/>
      <c r="CF40" s="777"/>
      <c r="CG40" s="387"/>
      <c r="CH40" s="776"/>
      <c r="CI40" s="386">
        <v>0.013</v>
      </c>
      <c r="CJ40" s="770"/>
      <c r="CK40" s="777"/>
      <c r="CL40" s="370"/>
      <c r="CM40" s="774"/>
      <c r="CN40" s="380">
        <v>0</v>
      </c>
      <c r="CO40" s="770"/>
      <c r="CP40" s="775"/>
      <c r="CQ40" s="370"/>
      <c r="CR40" s="776"/>
      <c r="CS40" s="380">
        <v>0.0064</v>
      </c>
      <c r="CT40" s="770"/>
      <c r="CU40" s="777"/>
      <c r="CV40" s="368"/>
      <c r="CW40" s="774"/>
      <c r="CX40" s="390">
        <v>0</v>
      </c>
      <c r="CY40" s="770"/>
      <c r="CZ40" s="775"/>
      <c r="DA40" s="387"/>
      <c r="DB40" s="774"/>
      <c r="DC40" s="380">
        <v>0.0056</v>
      </c>
      <c r="DD40" s="770"/>
      <c r="DE40" s="775"/>
      <c r="DF40" s="370"/>
      <c r="DG40" s="774"/>
      <c r="DH40" s="380">
        <v>0</v>
      </c>
      <c r="DI40" s="770"/>
      <c r="DJ40" s="775"/>
    </row>
    <row r="41" spans="1:114" ht="12.75">
      <c r="A41" s="769">
        <v>19</v>
      </c>
      <c r="B41" s="380">
        <v>1339.8</v>
      </c>
      <c r="C41" s="770">
        <f>ROUND(B41+B42,3)</f>
        <v>2692.2</v>
      </c>
      <c r="D41" s="771">
        <f>ROUND((D39+C41/14000),4)</f>
        <v>2.6736</v>
      </c>
      <c r="E41" s="772">
        <v>19</v>
      </c>
      <c r="F41" s="390">
        <v>0</v>
      </c>
      <c r="G41" s="770">
        <f>ROUND((42000*(F41+F42)/2),3)</f>
        <v>0</v>
      </c>
      <c r="H41" s="773">
        <f>ROUND((H39+G41/14000),4)</f>
        <v>0</v>
      </c>
      <c r="I41" s="774">
        <v>19</v>
      </c>
      <c r="J41" s="380">
        <v>231</v>
      </c>
      <c r="K41" s="770">
        <f>ROUND((J41+J42),3)</f>
        <v>462</v>
      </c>
      <c r="L41" s="773">
        <f>ROUND((L39+K41/14000),4)</f>
        <v>0.5541</v>
      </c>
      <c r="M41" s="774">
        <v>19</v>
      </c>
      <c r="N41" s="380">
        <v>0</v>
      </c>
      <c r="O41" s="770">
        <f>ROUND((42000*(N41+N42)/2),3)</f>
        <v>0</v>
      </c>
      <c r="P41" s="773">
        <f>ROUND((P39+O41/14000),4)</f>
        <v>0</v>
      </c>
      <c r="R41" s="774">
        <v>19</v>
      </c>
      <c r="S41" s="614">
        <v>1012.2</v>
      </c>
      <c r="T41" s="770">
        <f>ROUND((S41+S42),3)</f>
        <v>2032.8</v>
      </c>
      <c r="U41" s="775">
        <f>ROUND((U39+T41/14000),4)</f>
        <v>1.9473</v>
      </c>
      <c r="V41" s="774">
        <v>19</v>
      </c>
      <c r="W41" s="380">
        <v>0</v>
      </c>
      <c r="X41" s="770">
        <f>ROUND((42000*(W41+W42)/2),3)</f>
        <v>0</v>
      </c>
      <c r="Y41" s="775">
        <f>ROUND((Y39+X41/14000),4)</f>
        <v>0</v>
      </c>
      <c r="Z41" s="385"/>
      <c r="AA41" s="774">
        <v>19</v>
      </c>
      <c r="AB41" s="617">
        <v>67.2</v>
      </c>
      <c r="AC41" s="770">
        <f>ROUND((AB41+AB42),3)</f>
        <v>134.4</v>
      </c>
      <c r="AD41" s="775">
        <f>ROUND((AD39+AC41/14000),4)</f>
        <v>0.1326</v>
      </c>
      <c r="AE41" s="774">
        <v>19</v>
      </c>
      <c r="AF41" s="614">
        <v>0</v>
      </c>
      <c r="AG41" s="770">
        <f>ROUND((AF41+AF42),3)</f>
        <v>0</v>
      </c>
      <c r="AH41" s="775">
        <f>ROUND((AH39+AG41/14000),4)</f>
        <v>0.0705</v>
      </c>
      <c r="AJ41" s="776">
        <v>19</v>
      </c>
      <c r="AK41" s="391">
        <v>0.0288</v>
      </c>
      <c r="AL41" s="770">
        <f>ROUND((9600*(AK41+AK42)/2),3)</f>
        <v>271.68</v>
      </c>
      <c r="AM41" s="777">
        <f>ROUND((AM39+AL41/9600),4)</f>
        <v>0.4941</v>
      </c>
      <c r="AN41" s="368"/>
      <c r="AO41" s="776">
        <v>19</v>
      </c>
      <c r="AP41" s="380">
        <v>0</v>
      </c>
      <c r="AQ41" s="770">
        <f>ROUND((14000*(AP41+AP42)/2),3)</f>
        <v>0</v>
      </c>
      <c r="AR41" s="777">
        <f>ROUND((AR39+AQ41/9600),4)</f>
        <v>0</v>
      </c>
      <c r="AS41" s="387"/>
      <c r="AT41" s="776">
        <v>19</v>
      </c>
      <c r="AU41" s="391">
        <v>0.0038</v>
      </c>
      <c r="AV41" s="770">
        <f>ROUND((9600*(AU41+AU42)/2),3)</f>
        <v>23.04</v>
      </c>
      <c r="AW41" s="777">
        <f>ROUND((AW39+AV41/9600),4)</f>
        <v>0.079</v>
      </c>
      <c r="AX41" s="370"/>
      <c r="AY41" s="774">
        <v>19</v>
      </c>
      <c r="AZ41" s="380">
        <v>0.0002</v>
      </c>
      <c r="BA41" s="770">
        <f>ROUND((9600*(AZ41+AZ42)/2),3)</f>
        <v>17.28</v>
      </c>
      <c r="BB41" s="775">
        <f>ROUND((BB39+BA41/9600),4)</f>
        <v>0.018</v>
      </c>
      <c r="BD41" s="776">
        <v>19</v>
      </c>
      <c r="BE41" s="391">
        <v>0</v>
      </c>
      <c r="BF41" s="770">
        <f>ROUND((15*(BE41+BE42)/2),3)</f>
        <v>0.006</v>
      </c>
      <c r="BG41" s="777">
        <f>ROUND((BG39+BF41/15),4)</f>
        <v>0.0104</v>
      </c>
      <c r="BH41" s="368"/>
      <c r="BI41" s="774">
        <v>19</v>
      </c>
      <c r="BJ41" s="390">
        <v>0</v>
      </c>
      <c r="BK41" s="770">
        <f>ROUND((15*(BJ41+BJ42)/2),3)</f>
        <v>0</v>
      </c>
      <c r="BL41" s="775">
        <f>ROUND((BL39+BK41/15),4)</f>
        <v>0</v>
      </c>
      <c r="BM41" s="387"/>
      <c r="BN41" s="774">
        <v>19</v>
      </c>
      <c r="BO41" s="391">
        <v>0.0016</v>
      </c>
      <c r="BP41" s="770">
        <f>ROUND((15*(BO41+BO42)/2),3)</f>
        <v>0.03</v>
      </c>
      <c r="BQ41" s="775">
        <f>ROUND((BQ39+BP41/15),4)</f>
        <v>0.0292</v>
      </c>
      <c r="BR41" s="370"/>
      <c r="BS41" s="774">
        <v>19</v>
      </c>
      <c r="BT41" s="380">
        <v>0</v>
      </c>
      <c r="BU41" s="770">
        <f>ROUND((15*(BT41+BT42)/2),3)</f>
        <v>0</v>
      </c>
      <c r="BV41" s="775">
        <f>ROUND((BV39+BU41/15),4)</f>
        <v>0</v>
      </c>
      <c r="BX41" s="776">
        <v>19</v>
      </c>
      <c r="BY41" s="386">
        <v>0.0494</v>
      </c>
      <c r="BZ41" s="770">
        <f>ROUND((9600*(BY41+BY42)/2),3)</f>
        <v>477.12</v>
      </c>
      <c r="CA41" s="777">
        <f>ROUND((CA39+BZ41/9600),4)</f>
        <v>0.7736</v>
      </c>
      <c r="CB41" s="368"/>
      <c r="CC41" s="776">
        <v>19</v>
      </c>
      <c r="CD41" s="380">
        <v>0</v>
      </c>
      <c r="CE41" s="770">
        <f>ROUND((14000*(CD41+CD42)/2),3)</f>
        <v>0</v>
      </c>
      <c r="CF41" s="777">
        <f>ROUND((CF39+CE41/9600),4)</f>
        <v>0</v>
      </c>
      <c r="CG41" s="387"/>
      <c r="CH41" s="776">
        <v>19</v>
      </c>
      <c r="CI41" s="386">
        <v>0.0126</v>
      </c>
      <c r="CJ41" s="770">
        <f>ROUND((9600*(CI41+CI42)/2),3)</f>
        <v>119.04</v>
      </c>
      <c r="CK41" s="777">
        <f>ROUND((CK39+CJ41/9600),4)</f>
        <v>0.2107</v>
      </c>
      <c r="CL41" s="370"/>
      <c r="CM41" s="774">
        <v>19</v>
      </c>
      <c r="CN41" s="380">
        <v>0</v>
      </c>
      <c r="CO41" s="770">
        <f>ROUND((9600*(CN41+CN42)/2),3)</f>
        <v>0</v>
      </c>
      <c r="CP41" s="775">
        <f>ROUND((CP39+CO41/9600),4)</f>
        <v>0</v>
      </c>
      <c r="CQ41" s="370"/>
      <c r="CR41" s="776">
        <v>19</v>
      </c>
      <c r="CS41" s="380">
        <v>0.0104</v>
      </c>
      <c r="CT41" s="770">
        <f>ROUND((15*(CS41+CS42)/2),3)</f>
        <v>0.126</v>
      </c>
      <c r="CU41" s="777">
        <f>ROUND((CU39+CT41/15),4)</f>
        <v>0.1132</v>
      </c>
      <c r="CV41" s="368"/>
      <c r="CW41" s="774">
        <v>19</v>
      </c>
      <c r="CX41" s="390">
        <v>0</v>
      </c>
      <c r="CY41" s="770">
        <f>ROUND((15*(CX41+CX42)/2),3)</f>
        <v>0</v>
      </c>
      <c r="CZ41" s="775">
        <f>ROUND((CZ39+CY41/15),4)</f>
        <v>0</v>
      </c>
      <c r="DA41" s="387"/>
      <c r="DB41" s="774">
        <v>19</v>
      </c>
      <c r="DC41" s="380">
        <v>0.0056</v>
      </c>
      <c r="DD41" s="770">
        <f>ROUND((15*(DC41+DC42)/2),3)</f>
        <v>0.09</v>
      </c>
      <c r="DE41" s="775">
        <f>ROUND((DE39+DD41/15),4)</f>
        <v>0.098</v>
      </c>
      <c r="DF41" s="370"/>
      <c r="DG41" s="774">
        <v>19</v>
      </c>
      <c r="DH41" s="380">
        <v>0</v>
      </c>
      <c r="DI41" s="770">
        <f>ROUND((15*(DH41+DH42)/2),3)</f>
        <v>0</v>
      </c>
      <c r="DJ41" s="775">
        <f>ROUND((DJ39+DI41/15),4)</f>
        <v>0</v>
      </c>
    </row>
    <row r="42" spans="1:114" ht="12.75">
      <c r="A42" s="769"/>
      <c r="B42" s="380">
        <v>1352.4</v>
      </c>
      <c r="C42" s="770"/>
      <c r="D42" s="771"/>
      <c r="E42" s="772"/>
      <c r="F42" s="390">
        <v>0</v>
      </c>
      <c r="G42" s="770"/>
      <c r="H42" s="773"/>
      <c r="I42" s="774"/>
      <c r="J42" s="380">
        <v>231</v>
      </c>
      <c r="K42" s="770"/>
      <c r="L42" s="773"/>
      <c r="M42" s="774"/>
      <c r="N42" s="380">
        <v>0</v>
      </c>
      <c r="O42" s="770"/>
      <c r="P42" s="773"/>
      <c r="R42" s="774"/>
      <c r="S42" s="614">
        <v>1020.6</v>
      </c>
      <c r="T42" s="770"/>
      <c r="U42" s="775"/>
      <c r="V42" s="774"/>
      <c r="W42" s="380">
        <v>0</v>
      </c>
      <c r="X42" s="770"/>
      <c r="Y42" s="775"/>
      <c r="Z42" s="385"/>
      <c r="AA42" s="774"/>
      <c r="AB42" s="617">
        <v>67.2</v>
      </c>
      <c r="AC42" s="770"/>
      <c r="AD42" s="775"/>
      <c r="AE42" s="774"/>
      <c r="AF42" s="614">
        <v>0</v>
      </c>
      <c r="AG42" s="770"/>
      <c r="AH42" s="775"/>
      <c r="AJ42" s="776"/>
      <c r="AK42" s="391">
        <v>0.0278</v>
      </c>
      <c r="AL42" s="770"/>
      <c r="AM42" s="777"/>
      <c r="AN42" s="368"/>
      <c r="AO42" s="776"/>
      <c r="AP42" s="380">
        <v>0</v>
      </c>
      <c r="AQ42" s="770"/>
      <c r="AR42" s="777"/>
      <c r="AS42" s="387"/>
      <c r="AT42" s="776"/>
      <c r="AU42" s="391">
        <v>0.001</v>
      </c>
      <c r="AV42" s="770"/>
      <c r="AW42" s="777"/>
      <c r="AX42" s="370"/>
      <c r="AY42" s="774"/>
      <c r="AZ42" s="380">
        <v>0.0034</v>
      </c>
      <c r="BA42" s="770"/>
      <c r="BB42" s="775"/>
      <c r="BD42" s="776"/>
      <c r="BE42" s="391">
        <v>0.0008</v>
      </c>
      <c r="BF42" s="770"/>
      <c r="BG42" s="777"/>
      <c r="BH42" s="368"/>
      <c r="BI42" s="774"/>
      <c r="BJ42" s="390">
        <v>0</v>
      </c>
      <c r="BK42" s="770"/>
      <c r="BL42" s="775"/>
      <c r="BM42" s="387"/>
      <c r="BN42" s="774"/>
      <c r="BO42" s="391">
        <v>0.0024</v>
      </c>
      <c r="BP42" s="770"/>
      <c r="BQ42" s="775"/>
      <c r="BR42" s="370"/>
      <c r="BS42" s="774"/>
      <c r="BT42" s="380">
        <v>0</v>
      </c>
      <c r="BU42" s="770"/>
      <c r="BV42" s="775"/>
      <c r="BX42" s="776"/>
      <c r="BY42" s="386">
        <v>0.05</v>
      </c>
      <c r="BZ42" s="770"/>
      <c r="CA42" s="777"/>
      <c r="CB42" s="368"/>
      <c r="CC42" s="776"/>
      <c r="CD42" s="380">
        <v>0</v>
      </c>
      <c r="CE42" s="770"/>
      <c r="CF42" s="777"/>
      <c r="CG42" s="387"/>
      <c r="CH42" s="776"/>
      <c r="CI42" s="386">
        <v>0.0122</v>
      </c>
      <c r="CJ42" s="770"/>
      <c r="CK42" s="777"/>
      <c r="CL42" s="370"/>
      <c r="CM42" s="774"/>
      <c r="CN42" s="380">
        <v>0</v>
      </c>
      <c r="CO42" s="770"/>
      <c r="CP42" s="775"/>
      <c r="CQ42" s="370"/>
      <c r="CR42" s="776"/>
      <c r="CS42" s="380">
        <v>0.0064</v>
      </c>
      <c r="CT42" s="770"/>
      <c r="CU42" s="777"/>
      <c r="CV42" s="368"/>
      <c r="CW42" s="774"/>
      <c r="CX42" s="390">
        <v>0</v>
      </c>
      <c r="CY42" s="770"/>
      <c r="CZ42" s="775"/>
      <c r="DA42" s="387"/>
      <c r="DB42" s="774"/>
      <c r="DC42" s="380">
        <v>0.0064</v>
      </c>
      <c r="DD42" s="770"/>
      <c r="DE42" s="775"/>
      <c r="DF42" s="370"/>
      <c r="DG42" s="774"/>
      <c r="DH42" s="380">
        <v>0</v>
      </c>
      <c r="DI42" s="770"/>
      <c r="DJ42" s="775"/>
    </row>
    <row r="43" spans="1:114" ht="12.75">
      <c r="A43" s="769">
        <v>20</v>
      </c>
      <c r="B43" s="380">
        <v>1360.8</v>
      </c>
      <c r="C43" s="770">
        <f>ROUND(B43+B44,3)</f>
        <v>2746.8</v>
      </c>
      <c r="D43" s="771">
        <f>ROUND((D41+C43/14000),4)</f>
        <v>2.8698</v>
      </c>
      <c r="E43" s="772">
        <v>20</v>
      </c>
      <c r="F43" s="390">
        <v>0</v>
      </c>
      <c r="G43" s="770">
        <f>ROUND((42000*(F43+F44)/2),3)</f>
        <v>0</v>
      </c>
      <c r="H43" s="773">
        <f>ROUND((H41+G43/14000),4)</f>
        <v>0</v>
      </c>
      <c r="I43" s="774">
        <v>20</v>
      </c>
      <c r="J43" s="380">
        <v>231</v>
      </c>
      <c r="K43" s="770">
        <f>ROUND((J43+J44),3)</f>
        <v>453.6</v>
      </c>
      <c r="L43" s="773">
        <f>ROUND((L41+K43/14000),4)</f>
        <v>0.5865</v>
      </c>
      <c r="M43" s="774">
        <v>20</v>
      </c>
      <c r="N43" s="380">
        <v>0</v>
      </c>
      <c r="O43" s="770">
        <f>ROUND((42000*(N43+N44)/2),3)</f>
        <v>0</v>
      </c>
      <c r="P43" s="773">
        <f>ROUND((P41+O43/14000),4)</f>
        <v>0</v>
      </c>
      <c r="R43" s="774">
        <v>20</v>
      </c>
      <c r="S43" s="614">
        <v>1037.4</v>
      </c>
      <c r="T43" s="770">
        <f>ROUND((S43+S44),3)</f>
        <v>2074.8</v>
      </c>
      <c r="U43" s="775">
        <f>ROUND((U41+T43/14000),4)</f>
        <v>2.0955</v>
      </c>
      <c r="V43" s="774">
        <v>20</v>
      </c>
      <c r="W43" s="380">
        <v>0</v>
      </c>
      <c r="X43" s="770">
        <f>ROUND((42000*(W43+W44)/2),3)</f>
        <v>0</v>
      </c>
      <c r="Y43" s="775">
        <f>ROUND((Y41+X43/14000),4)</f>
        <v>0</v>
      </c>
      <c r="Z43" s="385"/>
      <c r="AA43" s="774">
        <v>20</v>
      </c>
      <c r="AB43" s="617">
        <v>67.2</v>
      </c>
      <c r="AC43" s="770">
        <f>ROUND((AB43+AB44),3)</f>
        <v>126</v>
      </c>
      <c r="AD43" s="775">
        <f>ROUND((AD41+AC43/14000),4)</f>
        <v>0.1416</v>
      </c>
      <c r="AE43" s="774">
        <v>20</v>
      </c>
      <c r="AF43" s="614">
        <v>0</v>
      </c>
      <c r="AG43" s="770">
        <f>ROUND((AF43+AF44),3)</f>
        <v>0</v>
      </c>
      <c r="AH43" s="775">
        <f>ROUND((AH41+AG43/14000),4)</f>
        <v>0.0705</v>
      </c>
      <c r="AJ43" s="776">
        <v>20</v>
      </c>
      <c r="AK43" s="391">
        <v>0.0254</v>
      </c>
      <c r="AL43" s="770">
        <f>ROUND((9600*(AK43+AK44)/2),3)</f>
        <v>256.32</v>
      </c>
      <c r="AM43" s="777">
        <f>ROUND((AM41+AL43/9600),4)</f>
        <v>0.5208</v>
      </c>
      <c r="AN43" s="368"/>
      <c r="AO43" s="776">
        <v>20</v>
      </c>
      <c r="AP43" s="380">
        <v>0</v>
      </c>
      <c r="AQ43" s="770">
        <f>ROUND((14000*(AP43+AP44)/2),3)</f>
        <v>0</v>
      </c>
      <c r="AR43" s="777">
        <f>ROUND((AR41+AQ43/9600),4)</f>
        <v>0</v>
      </c>
      <c r="AS43" s="387"/>
      <c r="AT43" s="776">
        <v>20</v>
      </c>
      <c r="AU43" s="391">
        <v>0</v>
      </c>
      <c r="AV43" s="770">
        <f>ROUND((9600*(AU43+AU44)/2),3)</f>
        <v>5.76</v>
      </c>
      <c r="AW43" s="777">
        <f>ROUND((AW41+AV43/9600),4)</f>
        <v>0.0796</v>
      </c>
      <c r="AX43" s="370"/>
      <c r="AY43" s="774">
        <v>20</v>
      </c>
      <c r="AZ43" s="380">
        <v>0.0044</v>
      </c>
      <c r="BA43" s="770">
        <f>ROUND((9600*(AZ43+AZ44)/2),3)</f>
        <v>33.6</v>
      </c>
      <c r="BB43" s="775">
        <f>ROUND((BB41+BA43/9600),4)</f>
        <v>0.0215</v>
      </c>
      <c r="BD43" s="776">
        <v>20</v>
      </c>
      <c r="BE43" s="391">
        <v>0.0008</v>
      </c>
      <c r="BF43" s="770">
        <f>ROUND((15*(BE43+BE44)/2),3)</f>
        <v>0.012</v>
      </c>
      <c r="BG43" s="777">
        <f>ROUND((BG41+BF43/15),4)</f>
        <v>0.0112</v>
      </c>
      <c r="BH43" s="368"/>
      <c r="BI43" s="774">
        <v>20</v>
      </c>
      <c r="BJ43" s="390">
        <v>0</v>
      </c>
      <c r="BK43" s="770">
        <f>ROUND((15*(BJ43+BJ44)/2),3)</f>
        <v>0</v>
      </c>
      <c r="BL43" s="775">
        <f>ROUND((BL41+BK43/15),4)</f>
        <v>0</v>
      </c>
      <c r="BM43" s="387"/>
      <c r="BN43" s="774">
        <v>20</v>
      </c>
      <c r="BO43" s="391">
        <v>0.0016</v>
      </c>
      <c r="BP43" s="770">
        <f>ROUND((15*(BO43+BO44)/2),3)</f>
        <v>0.024</v>
      </c>
      <c r="BQ43" s="775">
        <f>ROUND((BQ41+BP43/15),4)</f>
        <v>0.0308</v>
      </c>
      <c r="BR43" s="370"/>
      <c r="BS43" s="774">
        <v>20</v>
      </c>
      <c r="BT43" s="380">
        <v>0</v>
      </c>
      <c r="BU43" s="770">
        <f>ROUND((15*(BT43+BT44)/2),3)</f>
        <v>0</v>
      </c>
      <c r="BV43" s="775">
        <f>ROUND((BV41+BU43/15),4)</f>
        <v>0</v>
      </c>
      <c r="BX43" s="776">
        <v>20</v>
      </c>
      <c r="BY43" s="386">
        <v>0.0504</v>
      </c>
      <c r="BZ43" s="770">
        <f>ROUND((9600*(BY43+BY44)/2),3)</f>
        <v>494.4</v>
      </c>
      <c r="CA43" s="777">
        <f>ROUND((CA41+BZ43/9600),4)</f>
        <v>0.8251</v>
      </c>
      <c r="CB43" s="368"/>
      <c r="CC43" s="776">
        <v>20</v>
      </c>
      <c r="CD43" s="380">
        <v>0</v>
      </c>
      <c r="CE43" s="770">
        <f>ROUND((14000*(CD43+CD44)/2),3)</f>
        <v>0</v>
      </c>
      <c r="CF43" s="777">
        <f>ROUND((CF41+CE43/9600),4)</f>
        <v>0</v>
      </c>
      <c r="CG43" s="387"/>
      <c r="CH43" s="776">
        <v>20</v>
      </c>
      <c r="CI43" s="386">
        <v>0.0128</v>
      </c>
      <c r="CJ43" s="770">
        <f>ROUND((9600*(CI43+CI44)/2),3)</f>
        <v>124.8</v>
      </c>
      <c r="CK43" s="777">
        <f>ROUND((CK41+CJ43/9600),4)</f>
        <v>0.2237</v>
      </c>
      <c r="CL43" s="370"/>
      <c r="CM43" s="774">
        <v>20</v>
      </c>
      <c r="CN43" s="380">
        <v>0</v>
      </c>
      <c r="CO43" s="770">
        <f>ROUND((9600*(CN43+CN44)/2),3)</f>
        <v>0</v>
      </c>
      <c r="CP43" s="775">
        <f>ROUND((CP41+CO43/9600),4)</f>
        <v>0</v>
      </c>
      <c r="CQ43" s="370"/>
      <c r="CR43" s="776">
        <v>20</v>
      </c>
      <c r="CS43" s="380">
        <v>0.0064</v>
      </c>
      <c r="CT43" s="770">
        <f>ROUND((15*(CS43+CS44)/2),3)</f>
        <v>0.096</v>
      </c>
      <c r="CU43" s="777">
        <f>ROUND((CU41+CT43/15),4)</f>
        <v>0.1196</v>
      </c>
      <c r="CV43" s="368"/>
      <c r="CW43" s="774">
        <v>20</v>
      </c>
      <c r="CX43" s="390">
        <v>0</v>
      </c>
      <c r="CY43" s="770">
        <f>ROUND((15*(CX43+CX44)/2),3)</f>
        <v>0</v>
      </c>
      <c r="CZ43" s="775">
        <f>ROUND((CZ41+CY43/15),4)</f>
        <v>0</v>
      </c>
      <c r="DA43" s="387"/>
      <c r="DB43" s="774">
        <v>20</v>
      </c>
      <c r="DC43" s="380">
        <v>0.0056</v>
      </c>
      <c r="DD43" s="770">
        <f>ROUND((15*(DC43+DC44)/2),3)</f>
        <v>0.084</v>
      </c>
      <c r="DE43" s="775">
        <f>ROUND((DE41+DD43/15),4)</f>
        <v>0.1036</v>
      </c>
      <c r="DF43" s="370"/>
      <c r="DG43" s="774">
        <v>20</v>
      </c>
      <c r="DH43" s="380">
        <v>0</v>
      </c>
      <c r="DI43" s="770">
        <f>ROUND((15*(DH43+DH44)/2),3)</f>
        <v>0</v>
      </c>
      <c r="DJ43" s="775">
        <f>ROUND((DJ41+DI43/15),4)</f>
        <v>0</v>
      </c>
    </row>
    <row r="44" spans="1:114" ht="12.75">
      <c r="A44" s="769"/>
      <c r="B44" s="380">
        <v>1386</v>
      </c>
      <c r="C44" s="770"/>
      <c r="D44" s="771"/>
      <c r="E44" s="772"/>
      <c r="F44" s="390">
        <v>0</v>
      </c>
      <c r="G44" s="770"/>
      <c r="H44" s="773"/>
      <c r="I44" s="774"/>
      <c r="J44" s="380">
        <v>222.6</v>
      </c>
      <c r="K44" s="770"/>
      <c r="L44" s="773"/>
      <c r="M44" s="774"/>
      <c r="N44" s="380">
        <v>0</v>
      </c>
      <c r="O44" s="770"/>
      <c r="P44" s="773"/>
      <c r="R44" s="774"/>
      <c r="S44" s="614">
        <v>1037.4</v>
      </c>
      <c r="T44" s="770"/>
      <c r="U44" s="775"/>
      <c r="V44" s="774"/>
      <c r="W44" s="380">
        <v>0</v>
      </c>
      <c r="X44" s="770"/>
      <c r="Y44" s="775"/>
      <c r="Z44" s="385"/>
      <c r="AA44" s="774"/>
      <c r="AB44" s="617">
        <v>58.8</v>
      </c>
      <c r="AC44" s="770"/>
      <c r="AD44" s="775"/>
      <c r="AE44" s="774"/>
      <c r="AF44" s="614">
        <v>0</v>
      </c>
      <c r="AG44" s="770"/>
      <c r="AH44" s="775"/>
      <c r="AJ44" s="776"/>
      <c r="AK44" s="391">
        <v>0.028</v>
      </c>
      <c r="AL44" s="770"/>
      <c r="AM44" s="777"/>
      <c r="AN44" s="368"/>
      <c r="AO44" s="776"/>
      <c r="AP44" s="380">
        <v>0</v>
      </c>
      <c r="AQ44" s="770"/>
      <c r="AR44" s="777"/>
      <c r="AS44" s="387"/>
      <c r="AT44" s="776"/>
      <c r="AU44" s="391">
        <v>0.0012</v>
      </c>
      <c r="AV44" s="770"/>
      <c r="AW44" s="777"/>
      <c r="AX44" s="370"/>
      <c r="AY44" s="774"/>
      <c r="AZ44" s="380">
        <v>0.0026</v>
      </c>
      <c r="BA44" s="770"/>
      <c r="BB44" s="775"/>
      <c r="BD44" s="776"/>
      <c r="BE44" s="391">
        <v>0.0008</v>
      </c>
      <c r="BF44" s="770"/>
      <c r="BG44" s="777"/>
      <c r="BH44" s="368"/>
      <c r="BI44" s="774"/>
      <c r="BJ44" s="390">
        <v>0</v>
      </c>
      <c r="BK44" s="770"/>
      <c r="BL44" s="775"/>
      <c r="BM44" s="387"/>
      <c r="BN44" s="774"/>
      <c r="BO44" s="391">
        <v>0.0016</v>
      </c>
      <c r="BP44" s="770"/>
      <c r="BQ44" s="775"/>
      <c r="BR44" s="370"/>
      <c r="BS44" s="774"/>
      <c r="BT44" s="380">
        <v>0</v>
      </c>
      <c r="BU44" s="770"/>
      <c r="BV44" s="775"/>
      <c r="BX44" s="776"/>
      <c r="BY44" s="386">
        <v>0.0526</v>
      </c>
      <c r="BZ44" s="770"/>
      <c r="CA44" s="777"/>
      <c r="CB44" s="368"/>
      <c r="CC44" s="776"/>
      <c r="CD44" s="380">
        <v>0</v>
      </c>
      <c r="CE44" s="770"/>
      <c r="CF44" s="777"/>
      <c r="CG44" s="387"/>
      <c r="CH44" s="776"/>
      <c r="CI44" s="386">
        <v>0.0132</v>
      </c>
      <c r="CJ44" s="770"/>
      <c r="CK44" s="777"/>
      <c r="CL44" s="370"/>
      <c r="CM44" s="774"/>
      <c r="CN44" s="380">
        <v>0</v>
      </c>
      <c r="CO44" s="770"/>
      <c r="CP44" s="775"/>
      <c r="CQ44" s="370"/>
      <c r="CR44" s="776"/>
      <c r="CS44" s="380">
        <v>0.0064</v>
      </c>
      <c r="CT44" s="770"/>
      <c r="CU44" s="777"/>
      <c r="CV44" s="368"/>
      <c r="CW44" s="774"/>
      <c r="CX44" s="390">
        <v>0</v>
      </c>
      <c r="CY44" s="770"/>
      <c r="CZ44" s="775"/>
      <c r="DA44" s="387"/>
      <c r="DB44" s="774"/>
      <c r="DC44" s="380">
        <v>0.0056</v>
      </c>
      <c r="DD44" s="770"/>
      <c r="DE44" s="775"/>
      <c r="DF44" s="370"/>
      <c r="DG44" s="774"/>
      <c r="DH44" s="380">
        <v>0</v>
      </c>
      <c r="DI44" s="770"/>
      <c r="DJ44" s="775"/>
    </row>
    <row r="45" spans="1:114" ht="12.75">
      <c r="A45" s="769">
        <v>21</v>
      </c>
      <c r="B45" s="380">
        <v>1365</v>
      </c>
      <c r="C45" s="770">
        <f>ROUND(B45+B46,3)</f>
        <v>2734.2</v>
      </c>
      <c r="D45" s="771">
        <f>ROUND((D43+C45/14000),4)</f>
        <v>3.0651</v>
      </c>
      <c r="E45" s="772">
        <v>21</v>
      </c>
      <c r="F45" s="390">
        <v>0</v>
      </c>
      <c r="G45" s="770">
        <f>ROUND((42000*(F45+F46)/2),3)</f>
        <v>0</v>
      </c>
      <c r="H45" s="773">
        <f>ROUND((H43+G45/14000),4)</f>
        <v>0</v>
      </c>
      <c r="I45" s="774">
        <v>21</v>
      </c>
      <c r="J45" s="380">
        <v>222.6</v>
      </c>
      <c r="K45" s="770">
        <f>ROUND((J45+J46),3)</f>
        <v>445.2</v>
      </c>
      <c r="L45" s="773">
        <f>ROUND((L43+K45/14000),4)</f>
        <v>0.6183</v>
      </c>
      <c r="M45" s="774">
        <v>21</v>
      </c>
      <c r="N45" s="380">
        <v>0</v>
      </c>
      <c r="O45" s="770">
        <f>ROUND((42000*(N45+N46)/2),3)</f>
        <v>0</v>
      </c>
      <c r="P45" s="773">
        <f>ROUND((P43+O45/14000),4)</f>
        <v>0</v>
      </c>
      <c r="R45" s="774">
        <v>21</v>
      </c>
      <c r="S45" s="614">
        <v>1066.8</v>
      </c>
      <c r="T45" s="770">
        <f>ROUND((S45+S46),3)</f>
        <v>2129.4</v>
      </c>
      <c r="U45" s="775">
        <f>ROUND((U43+T45/14000),4)</f>
        <v>2.2476</v>
      </c>
      <c r="V45" s="774">
        <v>21</v>
      </c>
      <c r="W45" s="380">
        <v>0</v>
      </c>
      <c r="X45" s="770">
        <f>ROUND((42000*(W45+W46)/2),3)</f>
        <v>0</v>
      </c>
      <c r="Y45" s="775">
        <f>ROUND((Y43+X45/14000),4)</f>
        <v>0</v>
      </c>
      <c r="Z45" s="385"/>
      <c r="AA45" s="774">
        <v>21</v>
      </c>
      <c r="AB45" s="617">
        <v>63</v>
      </c>
      <c r="AC45" s="770">
        <f>ROUND((AB45+AB46),3)</f>
        <v>126</v>
      </c>
      <c r="AD45" s="775">
        <f>ROUND((AD43+AC45/14000),4)</f>
        <v>0.1506</v>
      </c>
      <c r="AE45" s="774">
        <v>21</v>
      </c>
      <c r="AF45" s="614">
        <v>0</v>
      </c>
      <c r="AG45" s="770">
        <f>ROUND((AF45+AF46),3)</f>
        <v>0</v>
      </c>
      <c r="AH45" s="775">
        <f>ROUND((AH43+AG45/14000),4)</f>
        <v>0.0705</v>
      </c>
      <c r="AJ45" s="776">
        <v>21</v>
      </c>
      <c r="AK45" s="391">
        <v>0.034</v>
      </c>
      <c r="AL45" s="770">
        <f>ROUND((9600*(AK45+AK46)/2),3)</f>
        <v>341.76</v>
      </c>
      <c r="AM45" s="777">
        <f>ROUND((AM43+AL45/9600),4)</f>
        <v>0.5564</v>
      </c>
      <c r="AN45" s="368"/>
      <c r="AO45" s="776">
        <v>21</v>
      </c>
      <c r="AP45" s="380">
        <v>0</v>
      </c>
      <c r="AQ45" s="770">
        <f>ROUND((14000*(AP45+AP46)/2),3)</f>
        <v>0</v>
      </c>
      <c r="AR45" s="777">
        <f>ROUND((AR43+AQ45/9600),4)</f>
        <v>0</v>
      </c>
      <c r="AS45" s="387"/>
      <c r="AT45" s="776">
        <v>21</v>
      </c>
      <c r="AU45" s="391">
        <v>0.005</v>
      </c>
      <c r="AV45" s="770">
        <f>ROUND((9600*(AU45+AU46)/2),3)</f>
        <v>50.88</v>
      </c>
      <c r="AW45" s="777">
        <f>ROUND((AW43+AV45/9600),4)</f>
        <v>0.0849</v>
      </c>
      <c r="AX45" s="370"/>
      <c r="AY45" s="774">
        <v>21</v>
      </c>
      <c r="AZ45" s="380">
        <v>0</v>
      </c>
      <c r="BA45" s="770">
        <f>ROUND((9600*(AZ45+AZ46)/2),3)</f>
        <v>0</v>
      </c>
      <c r="BB45" s="775">
        <f>ROUND((BB43+BA45/9600),4)</f>
        <v>0.0215</v>
      </c>
      <c r="BD45" s="776">
        <v>21</v>
      </c>
      <c r="BE45" s="391">
        <v>0.0008</v>
      </c>
      <c r="BF45" s="770">
        <f>ROUND((15*(BE45+BE46)/2),3)</f>
        <v>0.006</v>
      </c>
      <c r="BG45" s="777">
        <f>ROUND((BG43+BF45/15),4)</f>
        <v>0.0116</v>
      </c>
      <c r="BH45" s="368"/>
      <c r="BI45" s="774">
        <v>21</v>
      </c>
      <c r="BJ45" s="390">
        <v>0</v>
      </c>
      <c r="BK45" s="770">
        <f>ROUND((15*(BJ45+BJ46)/2),3)</f>
        <v>0</v>
      </c>
      <c r="BL45" s="775">
        <f>ROUND((BL43+BK45/15),4)</f>
        <v>0</v>
      </c>
      <c r="BM45" s="387"/>
      <c r="BN45" s="774">
        <v>21</v>
      </c>
      <c r="BO45" s="391">
        <v>0.0016</v>
      </c>
      <c r="BP45" s="770">
        <f>ROUND((15*(BO45+BO46)/2),3)</f>
        <v>0.024</v>
      </c>
      <c r="BQ45" s="775">
        <f>ROUND((BQ43+BP45/15),4)</f>
        <v>0.0324</v>
      </c>
      <c r="BR45" s="370"/>
      <c r="BS45" s="774">
        <v>21</v>
      </c>
      <c r="BT45" s="380">
        <v>0</v>
      </c>
      <c r="BU45" s="770">
        <f>ROUND((15*(BT45+BT46)/2),3)</f>
        <v>0</v>
      </c>
      <c r="BV45" s="775">
        <f>ROUND((BV43+BU45/15),4)</f>
        <v>0</v>
      </c>
      <c r="BX45" s="776">
        <v>21</v>
      </c>
      <c r="BY45" s="386">
        <v>0.053</v>
      </c>
      <c r="BZ45" s="770">
        <f>ROUND((9600*(BY45+BY46)/2),3)</f>
        <v>509.76</v>
      </c>
      <c r="CA45" s="777">
        <f>ROUND((CA43+BZ45/9600),4)</f>
        <v>0.8782</v>
      </c>
      <c r="CB45" s="368"/>
      <c r="CC45" s="776">
        <v>21</v>
      </c>
      <c r="CD45" s="380">
        <v>0</v>
      </c>
      <c r="CE45" s="770">
        <f>ROUND((14000*(CD45+CD46)/2),3)</f>
        <v>0</v>
      </c>
      <c r="CF45" s="777">
        <f>ROUND((CF43+CE45/9600),4)</f>
        <v>0</v>
      </c>
      <c r="CG45" s="387"/>
      <c r="CH45" s="776">
        <v>21</v>
      </c>
      <c r="CI45" s="386">
        <v>0.0132</v>
      </c>
      <c r="CJ45" s="770">
        <f>ROUND((9600*(CI45+CI46)/2),3)</f>
        <v>123.84</v>
      </c>
      <c r="CK45" s="777">
        <f>ROUND((CK43+CJ45/9600),4)</f>
        <v>0.2366</v>
      </c>
      <c r="CL45" s="370"/>
      <c r="CM45" s="774">
        <v>21</v>
      </c>
      <c r="CN45" s="380">
        <v>0</v>
      </c>
      <c r="CO45" s="770">
        <f>ROUND((9600*(CN45+CN46)/2),3)</f>
        <v>0</v>
      </c>
      <c r="CP45" s="775">
        <f>ROUND((CP43+CO45/9600),4)</f>
        <v>0</v>
      </c>
      <c r="CQ45" s="370"/>
      <c r="CR45" s="776">
        <v>21</v>
      </c>
      <c r="CS45" s="380">
        <v>0.0072</v>
      </c>
      <c r="CT45" s="770">
        <f>ROUND((15*(CS45+CS46)/2),3)</f>
        <v>0.102</v>
      </c>
      <c r="CU45" s="777">
        <f>ROUND((CU43+CT45/15),4)</f>
        <v>0.1264</v>
      </c>
      <c r="CV45" s="368"/>
      <c r="CW45" s="774">
        <v>21</v>
      </c>
      <c r="CX45" s="390">
        <v>0</v>
      </c>
      <c r="CY45" s="770">
        <f>ROUND((15*(CX45+CX46)/2),3)</f>
        <v>0</v>
      </c>
      <c r="CZ45" s="775">
        <f>ROUND((CZ43+CY45/15),4)</f>
        <v>0</v>
      </c>
      <c r="DA45" s="387"/>
      <c r="DB45" s="774">
        <v>21</v>
      </c>
      <c r="DC45" s="380">
        <v>0.0056</v>
      </c>
      <c r="DD45" s="770">
        <f>ROUND((15*(DC45+DC46)/2),3)</f>
        <v>0.084</v>
      </c>
      <c r="DE45" s="775">
        <f>ROUND((DE43+DD45/15),4)</f>
        <v>0.1092</v>
      </c>
      <c r="DF45" s="370"/>
      <c r="DG45" s="774">
        <v>21</v>
      </c>
      <c r="DH45" s="380">
        <v>0</v>
      </c>
      <c r="DI45" s="770">
        <f>ROUND((15*(DH45+DH46)/2),3)</f>
        <v>0</v>
      </c>
      <c r="DJ45" s="775">
        <f>ROUND((DJ43+DI45/15),4)</f>
        <v>0</v>
      </c>
    </row>
    <row r="46" spans="1:114" ht="12.75">
      <c r="A46" s="769"/>
      <c r="B46" s="380">
        <v>1369.2</v>
      </c>
      <c r="C46" s="770"/>
      <c r="D46" s="771"/>
      <c r="E46" s="772"/>
      <c r="F46" s="390">
        <v>0</v>
      </c>
      <c r="G46" s="770"/>
      <c r="H46" s="773"/>
      <c r="I46" s="774"/>
      <c r="J46" s="380">
        <v>222.6</v>
      </c>
      <c r="K46" s="770"/>
      <c r="L46" s="773"/>
      <c r="M46" s="774"/>
      <c r="N46" s="380">
        <v>0</v>
      </c>
      <c r="O46" s="770"/>
      <c r="P46" s="773"/>
      <c r="R46" s="774"/>
      <c r="S46" s="614">
        <v>1062.6</v>
      </c>
      <c r="T46" s="770"/>
      <c r="U46" s="775"/>
      <c r="V46" s="774"/>
      <c r="W46" s="380">
        <v>0</v>
      </c>
      <c r="X46" s="770"/>
      <c r="Y46" s="775"/>
      <c r="Z46" s="385"/>
      <c r="AA46" s="774"/>
      <c r="AB46" s="617">
        <v>63</v>
      </c>
      <c r="AC46" s="770"/>
      <c r="AD46" s="775"/>
      <c r="AE46" s="774"/>
      <c r="AF46" s="614">
        <v>0</v>
      </c>
      <c r="AG46" s="770"/>
      <c r="AH46" s="775"/>
      <c r="AJ46" s="776"/>
      <c r="AK46" s="391">
        <v>0.0372</v>
      </c>
      <c r="AL46" s="770"/>
      <c r="AM46" s="777"/>
      <c r="AN46" s="368"/>
      <c r="AO46" s="776"/>
      <c r="AP46" s="380">
        <v>0</v>
      </c>
      <c r="AQ46" s="770"/>
      <c r="AR46" s="777"/>
      <c r="AS46" s="387"/>
      <c r="AT46" s="776"/>
      <c r="AU46" s="391">
        <v>0.0056</v>
      </c>
      <c r="AV46" s="770"/>
      <c r="AW46" s="777"/>
      <c r="AX46" s="370"/>
      <c r="AY46" s="774"/>
      <c r="AZ46" s="380">
        <v>0</v>
      </c>
      <c r="BA46" s="770"/>
      <c r="BB46" s="775"/>
      <c r="BD46" s="776"/>
      <c r="BE46" s="391">
        <v>0</v>
      </c>
      <c r="BF46" s="770"/>
      <c r="BG46" s="777"/>
      <c r="BH46" s="368"/>
      <c r="BI46" s="774"/>
      <c r="BJ46" s="390">
        <v>0</v>
      </c>
      <c r="BK46" s="770"/>
      <c r="BL46" s="775"/>
      <c r="BM46" s="387"/>
      <c r="BN46" s="774"/>
      <c r="BO46" s="391">
        <v>0.0016</v>
      </c>
      <c r="BP46" s="770"/>
      <c r="BQ46" s="775"/>
      <c r="BR46" s="370"/>
      <c r="BS46" s="774"/>
      <c r="BT46" s="380">
        <v>0</v>
      </c>
      <c r="BU46" s="770"/>
      <c r="BV46" s="775"/>
      <c r="BX46" s="776"/>
      <c r="BY46" s="386">
        <v>0.0532</v>
      </c>
      <c r="BZ46" s="770"/>
      <c r="CA46" s="777"/>
      <c r="CB46" s="368"/>
      <c r="CC46" s="776"/>
      <c r="CD46" s="380">
        <v>0</v>
      </c>
      <c r="CE46" s="770"/>
      <c r="CF46" s="777"/>
      <c r="CG46" s="387"/>
      <c r="CH46" s="776"/>
      <c r="CI46" s="386">
        <v>0.0126</v>
      </c>
      <c r="CJ46" s="770"/>
      <c r="CK46" s="777"/>
      <c r="CL46" s="370"/>
      <c r="CM46" s="774"/>
      <c r="CN46" s="380">
        <v>0</v>
      </c>
      <c r="CO46" s="770"/>
      <c r="CP46" s="775"/>
      <c r="CQ46" s="370"/>
      <c r="CR46" s="776"/>
      <c r="CS46" s="380">
        <v>0.0064</v>
      </c>
      <c r="CT46" s="770"/>
      <c r="CU46" s="777"/>
      <c r="CV46" s="368"/>
      <c r="CW46" s="774"/>
      <c r="CX46" s="390">
        <v>0</v>
      </c>
      <c r="CY46" s="770"/>
      <c r="CZ46" s="775"/>
      <c r="DA46" s="387"/>
      <c r="DB46" s="774"/>
      <c r="DC46" s="380">
        <v>0.0056</v>
      </c>
      <c r="DD46" s="770"/>
      <c r="DE46" s="775"/>
      <c r="DF46" s="370"/>
      <c r="DG46" s="774"/>
      <c r="DH46" s="380">
        <v>0</v>
      </c>
      <c r="DI46" s="770"/>
      <c r="DJ46" s="775"/>
    </row>
    <row r="47" spans="1:114" ht="12.75">
      <c r="A47" s="769">
        <v>22</v>
      </c>
      <c r="B47" s="380">
        <v>1352.4</v>
      </c>
      <c r="C47" s="770">
        <f>ROUND(B47+B48,3)</f>
        <v>2675.4</v>
      </c>
      <c r="D47" s="771">
        <f>ROUND((D45+C47/14000),4)</f>
        <v>3.2562</v>
      </c>
      <c r="E47" s="772">
        <v>22</v>
      </c>
      <c r="F47" s="390">
        <v>0</v>
      </c>
      <c r="G47" s="770">
        <f>ROUND((42000*(F47+F48)/2),3)</f>
        <v>0</v>
      </c>
      <c r="H47" s="773">
        <f>ROUND((H45+G47/14000),4)</f>
        <v>0</v>
      </c>
      <c r="I47" s="774">
        <v>22</v>
      </c>
      <c r="J47" s="380">
        <v>222.6</v>
      </c>
      <c r="K47" s="770">
        <f>ROUND((J47+J48),3)</f>
        <v>449.4</v>
      </c>
      <c r="L47" s="773">
        <f>ROUND((L45+K47/14000),4)</f>
        <v>0.6504</v>
      </c>
      <c r="M47" s="774">
        <v>22</v>
      </c>
      <c r="N47" s="380">
        <v>0</v>
      </c>
      <c r="O47" s="770">
        <f>ROUND((42000*(N47+N48)/2),3)</f>
        <v>0</v>
      </c>
      <c r="P47" s="773">
        <f>ROUND((P45+O47/14000),4)</f>
        <v>0</v>
      </c>
      <c r="R47" s="774">
        <v>22</v>
      </c>
      <c r="S47" s="614">
        <v>1066.8</v>
      </c>
      <c r="T47" s="770">
        <f>ROUND((S47+S48),3)</f>
        <v>2074.8</v>
      </c>
      <c r="U47" s="775">
        <f>ROUND((U45+T47/14000),4)</f>
        <v>2.3958</v>
      </c>
      <c r="V47" s="774">
        <v>22</v>
      </c>
      <c r="W47" s="380">
        <v>0</v>
      </c>
      <c r="X47" s="770">
        <f>ROUND((42000*(W47+W48)/2),3)</f>
        <v>0</v>
      </c>
      <c r="Y47" s="775">
        <f>ROUND((Y45+X47/14000),4)</f>
        <v>0</v>
      </c>
      <c r="Z47" s="385"/>
      <c r="AA47" s="774">
        <v>22</v>
      </c>
      <c r="AB47" s="617">
        <v>58.8</v>
      </c>
      <c r="AC47" s="770">
        <f>ROUND((AB47+AB48),3)</f>
        <v>113.4</v>
      </c>
      <c r="AD47" s="775">
        <f>ROUND((AD45+AC47/14000),4)</f>
        <v>0.1587</v>
      </c>
      <c r="AE47" s="774">
        <v>22</v>
      </c>
      <c r="AF47" s="614">
        <v>0</v>
      </c>
      <c r="AG47" s="770">
        <f>ROUND((AF47+AF48),3)</f>
        <v>0</v>
      </c>
      <c r="AH47" s="775">
        <f>ROUND((AH45+AG47/14000),4)</f>
        <v>0.0705</v>
      </c>
      <c r="AJ47" s="776">
        <v>22</v>
      </c>
      <c r="AK47" s="391">
        <v>0.0312</v>
      </c>
      <c r="AL47" s="770">
        <f>ROUND((9600*(AK47+AK48)/2),3)</f>
        <v>312</v>
      </c>
      <c r="AM47" s="777">
        <f>ROUND((AM45+AL47/9600),4)</f>
        <v>0.5889</v>
      </c>
      <c r="AN47" s="368"/>
      <c r="AO47" s="776">
        <v>22</v>
      </c>
      <c r="AP47" s="380">
        <v>0</v>
      </c>
      <c r="AQ47" s="770">
        <f>ROUND((14000*(AP47+AP48)/2),3)</f>
        <v>0</v>
      </c>
      <c r="AR47" s="777">
        <f>ROUND((AR45+AQ47/9600),4)</f>
        <v>0</v>
      </c>
      <c r="AS47" s="387"/>
      <c r="AT47" s="776">
        <v>22</v>
      </c>
      <c r="AU47" s="391">
        <v>0.0044</v>
      </c>
      <c r="AV47" s="770">
        <f>ROUND((9600*(AU47+AU48)/2),3)</f>
        <v>30.72</v>
      </c>
      <c r="AW47" s="777">
        <f>ROUND((AW45+AV47/9600),4)</f>
        <v>0.0881</v>
      </c>
      <c r="AX47" s="370"/>
      <c r="AY47" s="774">
        <v>22</v>
      </c>
      <c r="AZ47" s="380">
        <v>0.0002</v>
      </c>
      <c r="BA47" s="770">
        <f>ROUND((9600*(AZ47+AZ48)/2),3)</f>
        <v>3.84</v>
      </c>
      <c r="BB47" s="775">
        <f>ROUND((BB45+BA47/9600),4)</f>
        <v>0.0219</v>
      </c>
      <c r="BD47" s="776">
        <v>22</v>
      </c>
      <c r="BE47" s="391">
        <v>0.0008</v>
      </c>
      <c r="BF47" s="770">
        <f>ROUND((15*(BE47+BE48)/2),3)</f>
        <v>0.012</v>
      </c>
      <c r="BG47" s="777">
        <f>ROUND((BG45+BF47/15),4)</f>
        <v>0.0124</v>
      </c>
      <c r="BH47" s="368"/>
      <c r="BI47" s="774">
        <v>22</v>
      </c>
      <c r="BJ47" s="390">
        <v>0</v>
      </c>
      <c r="BK47" s="770">
        <f>ROUND((15*(BJ47+BJ48)/2),3)</f>
        <v>0</v>
      </c>
      <c r="BL47" s="775">
        <f>ROUND((BL45+BK47/15),4)</f>
        <v>0</v>
      </c>
      <c r="BM47" s="387"/>
      <c r="BN47" s="774">
        <v>22</v>
      </c>
      <c r="BO47" s="391">
        <v>0.0016</v>
      </c>
      <c r="BP47" s="770">
        <f>ROUND((15*(BO47+BO48)/2),3)</f>
        <v>0.024</v>
      </c>
      <c r="BQ47" s="775">
        <f>ROUND((BQ45+BP47/15),4)</f>
        <v>0.034</v>
      </c>
      <c r="BR47" s="370"/>
      <c r="BS47" s="774">
        <v>22</v>
      </c>
      <c r="BT47" s="380">
        <v>0</v>
      </c>
      <c r="BU47" s="770">
        <f>ROUND((15*(BT47+BT48)/2),3)</f>
        <v>0</v>
      </c>
      <c r="BV47" s="775">
        <f>ROUND((BV45+BU47/15),4)</f>
        <v>0</v>
      </c>
      <c r="BX47" s="776">
        <v>22</v>
      </c>
      <c r="BY47" s="386">
        <v>0.0546</v>
      </c>
      <c r="BZ47" s="770">
        <f>ROUND((9600*(BY47+BY48)/2),3)</f>
        <v>520.32</v>
      </c>
      <c r="CA47" s="777">
        <f>ROUND((CA45+BZ47/9600),4)</f>
        <v>0.9324</v>
      </c>
      <c r="CB47" s="368"/>
      <c r="CC47" s="776">
        <v>22</v>
      </c>
      <c r="CD47" s="380">
        <v>0</v>
      </c>
      <c r="CE47" s="770">
        <f>ROUND((14000*(CD47+CD48)/2),3)</f>
        <v>0</v>
      </c>
      <c r="CF47" s="777">
        <f>ROUND((CF45+CE47/9600),4)</f>
        <v>0</v>
      </c>
      <c r="CG47" s="387"/>
      <c r="CH47" s="776">
        <v>22</v>
      </c>
      <c r="CI47" s="386">
        <v>0.0136</v>
      </c>
      <c r="CJ47" s="770">
        <f>ROUND((9600*(CI47+CI48)/2),3)</f>
        <v>134.4</v>
      </c>
      <c r="CK47" s="777">
        <f>ROUND((CK45+CJ47/9600),4)</f>
        <v>0.2506</v>
      </c>
      <c r="CL47" s="370"/>
      <c r="CM47" s="774">
        <v>22</v>
      </c>
      <c r="CN47" s="380">
        <v>0</v>
      </c>
      <c r="CO47" s="770">
        <f>ROUND((9600*(CN47+CN48)/2),3)</f>
        <v>0</v>
      </c>
      <c r="CP47" s="775">
        <f>ROUND((CP45+CO47/9600),4)</f>
        <v>0</v>
      </c>
      <c r="CQ47" s="370"/>
      <c r="CR47" s="776">
        <v>22</v>
      </c>
      <c r="CS47" s="380">
        <v>0.0064</v>
      </c>
      <c r="CT47" s="770">
        <f>ROUND((15*(CS47+CS48)/2),3)</f>
        <v>0.21</v>
      </c>
      <c r="CU47" s="777">
        <f>ROUND((CU45+CT47/15),4)</f>
        <v>0.1404</v>
      </c>
      <c r="CV47" s="368"/>
      <c r="CW47" s="774">
        <v>22</v>
      </c>
      <c r="CX47" s="390">
        <v>0</v>
      </c>
      <c r="CY47" s="770">
        <f>ROUND((15*(CX47+CX48)/2),3)</f>
        <v>0</v>
      </c>
      <c r="CZ47" s="775">
        <f>ROUND((CZ45+CY47/15),4)</f>
        <v>0</v>
      </c>
      <c r="DA47" s="387"/>
      <c r="DB47" s="774">
        <v>22</v>
      </c>
      <c r="DC47" s="380">
        <v>0.0064</v>
      </c>
      <c r="DD47" s="770">
        <f>ROUND((15*(DC47+DC48)/2),3)</f>
        <v>0.348</v>
      </c>
      <c r="DE47" s="775">
        <f>ROUND((DE45+DD47/15),4)</f>
        <v>0.1324</v>
      </c>
      <c r="DF47" s="370"/>
      <c r="DG47" s="774">
        <v>22</v>
      </c>
      <c r="DH47" s="380">
        <v>0</v>
      </c>
      <c r="DI47" s="770">
        <f>ROUND((15*(DH47+DH48)/2),3)</f>
        <v>0</v>
      </c>
      <c r="DJ47" s="775">
        <f>ROUND((DJ45+DI47/15),4)</f>
        <v>0</v>
      </c>
    </row>
    <row r="48" spans="1:114" ht="12.75">
      <c r="A48" s="769"/>
      <c r="B48" s="380">
        <v>1323</v>
      </c>
      <c r="C48" s="770"/>
      <c r="D48" s="771"/>
      <c r="E48" s="772"/>
      <c r="F48" s="390">
        <v>0</v>
      </c>
      <c r="G48" s="770"/>
      <c r="H48" s="773"/>
      <c r="I48" s="774"/>
      <c r="J48" s="380">
        <v>226.8</v>
      </c>
      <c r="K48" s="770"/>
      <c r="L48" s="773"/>
      <c r="M48" s="774"/>
      <c r="N48" s="380">
        <v>0</v>
      </c>
      <c r="O48" s="770"/>
      <c r="P48" s="773"/>
      <c r="R48" s="774"/>
      <c r="S48" s="614">
        <v>1008</v>
      </c>
      <c r="T48" s="770"/>
      <c r="U48" s="775"/>
      <c r="V48" s="774"/>
      <c r="W48" s="380">
        <v>0</v>
      </c>
      <c r="X48" s="770"/>
      <c r="Y48" s="775"/>
      <c r="Z48" s="385"/>
      <c r="AA48" s="774"/>
      <c r="AB48" s="617">
        <v>54.6</v>
      </c>
      <c r="AC48" s="770"/>
      <c r="AD48" s="775"/>
      <c r="AE48" s="774"/>
      <c r="AF48" s="614">
        <v>0</v>
      </c>
      <c r="AG48" s="770"/>
      <c r="AH48" s="775"/>
      <c r="AJ48" s="776"/>
      <c r="AK48" s="391">
        <v>0.0338</v>
      </c>
      <c r="AL48" s="770"/>
      <c r="AM48" s="777"/>
      <c r="AN48" s="368"/>
      <c r="AO48" s="776"/>
      <c r="AP48" s="380">
        <v>0</v>
      </c>
      <c r="AQ48" s="770"/>
      <c r="AR48" s="777"/>
      <c r="AS48" s="387"/>
      <c r="AT48" s="776"/>
      <c r="AU48" s="391">
        <v>0.002</v>
      </c>
      <c r="AV48" s="770"/>
      <c r="AW48" s="777"/>
      <c r="AX48" s="370"/>
      <c r="AY48" s="774"/>
      <c r="AZ48" s="380">
        <v>0.0006</v>
      </c>
      <c r="BA48" s="770"/>
      <c r="BB48" s="775"/>
      <c r="BD48" s="776"/>
      <c r="BE48" s="391">
        <v>0.0008</v>
      </c>
      <c r="BF48" s="770"/>
      <c r="BG48" s="777"/>
      <c r="BH48" s="368"/>
      <c r="BI48" s="774"/>
      <c r="BJ48" s="390">
        <v>0</v>
      </c>
      <c r="BK48" s="770"/>
      <c r="BL48" s="775"/>
      <c r="BM48" s="387"/>
      <c r="BN48" s="774"/>
      <c r="BO48" s="391">
        <v>0.0016</v>
      </c>
      <c r="BP48" s="770"/>
      <c r="BQ48" s="775"/>
      <c r="BR48" s="370"/>
      <c r="BS48" s="774"/>
      <c r="BT48" s="380">
        <v>0</v>
      </c>
      <c r="BU48" s="770"/>
      <c r="BV48" s="775"/>
      <c r="BX48" s="776"/>
      <c r="BY48" s="386">
        <v>0.0538</v>
      </c>
      <c r="BZ48" s="770"/>
      <c r="CA48" s="777"/>
      <c r="CB48" s="368"/>
      <c r="CC48" s="776"/>
      <c r="CD48" s="380">
        <v>0</v>
      </c>
      <c r="CE48" s="770"/>
      <c r="CF48" s="777"/>
      <c r="CG48" s="387"/>
      <c r="CH48" s="776"/>
      <c r="CI48" s="386">
        <v>0.0144</v>
      </c>
      <c r="CJ48" s="770"/>
      <c r="CK48" s="777"/>
      <c r="CL48" s="370"/>
      <c r="CM48" s="774"/>
      <c r="CN48" s="380">
        <v>0</v>
      </c>
      <c r="CO48" s="770"/>
      <c r="CP48" s="775"/>
      <c r="CQ48" s="370"/>
      <c r="CR48" s="776"/>
      <c r="CS48" s="380">
        <v>0.0216</v>
      </c>
      <c r="CT48" s="770"/>
      <c r="CU48" s="777"/>
      <c r="CV48" s="368"/>
      <c r="CW48" s="774"/>
      <c r="CX48" s="390">
        <v>0</v>
      </c>
      <c r="CY48" s="770"/>
      <c r="CZ48" s="775"/>
      <c r="DA48" s="387"/>
      <c r="DB48" s="774"/>
      <c r="DC48" s="380">
        <v>0.04</v>
      </c>
      <c r="DD48" s="770"/>
      <c r="DE48" s="775"/>
      <c r="DF48" s="370"/>
      <c r="DG48" s="774"/>
      <c r="DH48" s="380">
        <v>0</v>
      </c>
      <c r="DI48" s="770"/>
      <c r="DJ48" s="775"/>
    </row>
    <row r="49" spans="1:114" ht="12.75">
      <c r="A49" s="769">
        <v>23</v>
      </c>
      <c r="B49" s="380">
        <v>1239</v>
      </c>
      <c r="C49" s="770">
        <f>ROUND(B49+B50,3)</f>
        <v>2373</v>
      </c>
      <c r="D49" s="771">
        <f>ROUND((D47+C49/14000),4)</f>
        <v>3.4257</v>
      </c>
      <c r="E49" s="772">
        <v>23</v>
      </c>
      <c r="F49" s="390">
        <v>0</v>
      </c>
      <c r="G49" s="770">
        <f>ROUND((42000*(F49+F50)/2),3)</f>
        <v>0</v>
      </c>
      <c r="H49" s="773">
        <f>ROUND((H47+G49/14000),4)</f>
        <v>0</v>
      </c>
      <c r="I49" s="774">
        <v>23</v>
      </c>
      <c r="J49" s="380">
        <v>231</v>
      </c>
      <c r="K49" s="770">
        <f>ROUND((J49+J50),3)</f>
        <v>457.8</v>
      </c>
      <c r="L49" s="773">
        <f>ROUND((L47+K49/14000),4)</f>
        <v>0.6831</v>
      </c>
      <c r="M49" s="774">
        <v>23</v>
      </c>
      <c r="N49" s="380">
        <v>0</v>
      </c>
      <c r="O49" s="770">
        <f>ROUND((42000*(N49+N50)/2),3)</f>
        <v>0</v>
      </c>
      <c r="P49" s="773">
        <f>ROUND((P47+O49/14000),4)</f>
        <v>0</v>
      </c>
      <c r="R49" s="774">
        <v>23</v>
      </c>
      <c r="S49" s="614">
        <v>894.6</v>
      </c>
      <c r="T49" s="770">
        <f>ROUND((S49+S50),3)</f>
        <v>1734.6</v>
      </c>
      <c r="U49" s="775">
        <f>ROUND((U47+T49/14000),4)</f>
        <v>2.5197</v>
      </c>
      <c r="V49" s="774">
        <v>23</v>
      </c>
      <c r="W49" s="380">
        <v>0</v>
      </c>
      <c r="X49" s="770">
        <f>ROUND((42000*(W49+W50)/2),3)</f>
        <v>0</v>
      </c>
      <c r="Y49" s="775">
        <f>ROUND((Y47+X49/14000),4)</f>
        <v>0</v>
      </c>
      <c r="Z49" s="385"/>
      <c r="AA49" s="774">
        <v>23</v>
      </c>
      <c r="AB49" s="617">
        <v>46.2</v>
      </c>
      <c r="AC49" s="770">
        <f>ROUND((AB49+AB50),3)</f>
        <v>88.2</v>
      </c>
      <c r="AD49" s="775">
        <f>ROUND((AD47+AC49/14000),4)</f>
        <v>0.165</v>
      </c>
      <c r="AE49" s="774">
        <v>23</v>
      </c>
      <c r="AF49" s="614">
        <v>4.2</v>
      </c>
      <c r="AG49" s="770">
        <f>ROUND((AF49+AF50),3)</f>
        <v>12.6</v>
      </c>
      <c r="AH49" s="775">
        <f>ROUND((AH47+AG49/14000),4)</f>
        <v>0.0714</v>
      </c>
      <c r="AJ49" s="776">
        <v>23</v>
      </c>
      <c r="AK49" s="391">
        <v>0.0278</v>
      </c>
      <c r="AL49" s="770">
        <f>ROUND((9600*(AK49+AK50)/2),3)</f>
        <v>262.08</v>
      </c>
      <c r="AM49" s="777">
        <f>ROUND((AM47+AL49/9600),4)</f>
        <v>0.6162</v>
      </c>
      <c r="AN49" s="368"/>
      <c r="AO49" s="776">
        <v>23</v>
      </c>
      <c r="AP49" s="380">
        <v>0</v>
      </c>
      <c r="AQ49" s="770">
        <f>ROUND((14000*(AP49+AP50)/2),3)</f>
        <v>0</v>
      </c>
      <c r="AR49" s="777">
        <f>ROUND((AR47+AQ49/9600),4)</f>
        <v>0</v>
      </c>
      <c r="AS49" s="387"/>
      <c r="AT49" s="776">
        <v>23</v>
      </c>
      <c r="AU49" s="391">
        <v>0.0012</v>
      </c>
      <c r="AV49" s="770">
        <f>ROUND((9600*(AU49+AU50)/2),3)</f>
        <v>7.68</v>
      </c>
      <c r="AW49" s="777">
        <f>ROUND((AW47+AV49/9600),4)</f>
        <v>0.0889</v>
      </c>
      <c r="AX49" s="370"/>
      <c r="AY49" s="774">
        <v>23</v>
      </c>
      <c r="AZ49" s="380">
        <v>0.0008</v>
      </c>
      <c r="BA49" s="770">
        <f>ROUND((9600*(AZ49+AZ50)/2),3)</f>
        <v>14.4</v>
      </c>
      <c r="BB49" s="775">
        <f>ROUND((BB47+BA49/9600),4)</f>
        <v>0.0234</v>
      </c>
      <c r="BD49" s="776">
        <v>23</v>
      </c>
      <c r="BE49" s="391">
        <v>0.0008</v>
      </c>
      <c r="BF49" s="770">
        <f>ROUND((15*(BE49+BE50)/2),3)</f>
        <v>0.012</v>
      </c>
      <c r="BG49" s="777">
        <f>ROUND((BG47+BF49/15),4)</f>
        <v>0.0132</v>
      </c>
      <c r="BH49" s="368"/>
      <c r="BI49" s="774">
        <v>23</v>
      </c>
      <c r="BJ49" s="390">
        <v>0</v>
      </c>
      <c r="BK49" s="770">
        <f>ROUND((15*(BJ49+BJ50)/2),3)</f>
        <v>0</v>
      </c>
      <c r="BL49" s="775">
        <f>ROUND((BL47+BK49/15),4)</f>
        <v>0</v>
      </c>
      <c r="BM49" s="387"/>
      <c r="BN49" s="774">
        <v>23</v>
      </c>
      <c r="BO49" s="391">
        <v>0.0016</v>
      </c>
      <c r="BP49" s="770">
        <f>ROUND((15*(BO49+BO50)/2),3)</f>
        <v>0.024</v>
      </c>
      <c r="BQ49" s="775">
        <f>ROUND((BQ47+BP49/15),4)</f>
        <v>0.0356</v>
      </c>
      <c r="BR49" s="370"/>
      <c r="BS49" s="774">
        <v>23</v>
      </c>
      <c r="BT49" s="380">
        <v>0</v>
      </c>
      <c r="BU49" s="770">
        <f>ROUND((15*(BT49+BT50)/2),3)</f>
        <v>0</v>
      </c>
      <c r="BV49" s="775">
        <f>ROUND((BV47+BU49/15),4)</f>
        <v>0</v>
      </c>
      <c r="BX49" s="776">
        <v>23</v>
      </c>
      <c r="BY49" s="386">
        <v>0.0538</v>
      </c>
      <c r="BZ49" s="770">
        <f>ROUND((9600*(BY49+BY50)/2),3)</f>
        <v>503.04</v>
      </c>
      <c r="CA49" s="777">
        <f>ROUND((CA47+BZ49/9600),4)</f>
        <v>0.9848</v>
      </c>
      <c r="CB49" s="368"/>
      <c r="CC49" s="776">
        <v>23</v>
      </c>
      <c r="CD49" s="380">
        <v>0</v>
      </c>
      <c r="CE49" s="770">
        <f>ROUND((14000*(CD49+CD50)/2),3)</f>
        <v>0</v>
      </c>
      <c r="CF49" s="777">
        <f>ROUND((CF47+CE49/9600),4)</f>
        <v>0</v>
      </c>
      <c r="CG49" s="387"/>
      <c r="CH49" s="776">
        <v>23</v>
      </c>
      <c r="CI49" s="386">
        <v>0.0138</v>
      </c>
      <c r="CJ49" s="770">
        <f>ROUND((9600*(CI49+CI50)/2),3)</f>
        <v>132.48</v>
      </c>
      <c r="CK49" s="777">
        <f>ROUND((CK47+CJ49/9600),4)</f>
        <v>0.2644</v>
      </c>
      <c r="CL49" s="370"/>
      <c r="CM49" s="774">
        <v>23</v>
      </c>
      <c r="CN49" s="380">
        <v>0</v>
      </c>
      <c r="CO49" s="770">
        <f>ROUND((9600*(CN49+CN50)/2),3)</f>
        <v>0</v>
      </c>
      <c r="CP49" s="775">
        <f>ROUND((CP47+CO49/9600),4)</f>
        <v>0</v>
      </c>
      <c r="CQ49" s="370"/>
      <c r="CR49" s="776">
        <v>23</v>
      </c>
      <c r="CS49" s="380">
        <v>0.0288</v>
      </c>
      <c r="CT49" s="770">
        <f>ROUND((15*(CS49+CS50)/2),3)</f>
        <v>0.432</v>
      </c>
      <c r="CU49" s="777">
        <f>ROUND((CU47+CT49/15),4)</f>
        <v>0.1692</v>
      </c>
      <c r="CV49" s="368"/>
      <c r="CW49" s="774">
        <v>23</v>
      </c>
      <c r="CX49" s="390">
        <v>0</v>
      </c>
      <c r="CY49" s="770">
        <f>ROUND((15*(CX49+CX50)/2),3)</f>
        <v>0</v>
      </c>
      <c r="CZ49" s="775">
        <f>ROUND((CZ47+CY49/15),4)</f>
        <v>0</v>
      </c>
      <c r="DA49" s="387"/>
      <c r="DB49" s="774">
        <v>23</v>
      </c>
      <c r="DC49" s="380">
        <v>0.0496</v>
      </c>
      <c r="DD49" s="770">
        <f>ROUND((15*(DC49+DC50)/2),3)</f>
        <v>0.75</v>
      </c>
      <c r="DE49" s="775">
        <f>ROUND((DE47+DD49/15),4)</f>
        <v>0.1824</v>
      </c>
      <c r="DF49" s="370"/>
      <c r="DG49" s="774">
        <v>23</v>
      </c>
      <c r="DH49" s="380">
        <v>0</v>
      </c>
      <c r="DI49" s="770">
        <f>ROUND((15*(DH49+DH50)/2),3)</f>
        <v>0</v>
      </c>
      <c r="DJ49" s="775">
        <f>ROUND((DJ47+DI49/15),4)</f>
        <v>0</v>
      </c>
    </row>
    <row r="50" spans="1:114" ht="12.75">
      <c r="A50" s="769"/>
      <c r="B50" s="380">
        <v>1134</v>
      </c>
      <c r="C50" s="770"/>
      <c r="D50" s="771"/>
      <c r="E50" s="772"/>
      <c r="F50" s="390">
        <v>0</v>
      </c>
      <c r="G50" s="770"/>
      <c r="H50" s="773"/>
      <c r="I50" s="774"/>
      <c r="J50" s="380">
        <v>226.8</v>
      </c>
      <c r="K50" s="770"/>
      <c r="L50" s="773"/>
      <c r="M50" s="774"/>
      <c r="N50" s="380">
        <v>0</v>
      </c>
      <c r="O50" s="770"/>
      <c r="P50" s="773"/>
      <c r="R50" s="774"/>
      <c r="S50" s="614">
        <v>840</v>
      </c>
      <c r="T50" s="770"/>
      <c r="U50" s="775"/>
      <c r="V50" s="774"/>
      <c r="W50" s="380">
        <v>0</v>
      </c>
      <c r="X50" s="770"/>
      <c r="Y50" s="775"/>
      <c r="Z50" s="385"/>
      <c r="AA50" s="774"/>
      <c r="AB50" s="617">
        <v>42</v>
      </c>
      <c r="AC50" s="770"/>
      <c r="AD50" s="775"/>
      <c r="AE50" s="774"/>
      <c r="AF50" s="614">
        <v>8.4</v>
      </c>
      <c r="AG50" s="770"/>
      <c r="AH50" s="775"/>
      <c r="AJ50" s="776"/>
      <c r="AK50" s="391">
        <v>0.0268</v>
      </c>
      <c r="AL50" s="770"/>
      <c r="AM50" s="777"/>
      <c r="AN50" s="368"/>
      <c r="AO50" s="776"/>
      <c r="AP50" s="380">
        <v>0</v>
      </c>
      <c r="AQ50" s="770"/>
      <c r="AR50" s="777"/>
      <c r="AS50" s="387"/>
      <c r="AT50" s="776"/>
      <c r="AU50" s="391">
        <v>0.0004</v>
      </c>
      <c r="AV50" s="770"/>
      <c r="AW50" s="777"/>
      <c r="AX50" s="370"/>
      <c r="AY50" s="774"/>
      <c r="AZ50" s="380">
        <v>0.0022</v>
      </c>
      <c r="BA50" s="770"/>
      <c r="BB50" s="775"/>
      <c r="BD50" s="776"/>
      <c r="BE50" s="391">
        <v>0.0008</v>
      </c>
      <c r="BF50" s="770"/>
      <c r="BG50" s="777"/>
      <c r="BH50" s="368"/>
      <c r="BI50" s="774"/>
      <c r="BJ50" s="390">
        <v>0</v>
      </c>
      <c r="BK50" s="770"/>
      <c r="BL50" s="775"/>
      <c r="BM50" s="387"/>
      <c r="BN50" s="774"/>
      <c r="BO50" s="391">
        <v>0.0016</v>
      </c>
      <c r="BP50" s="770"/>
      <c r="BQ50" s="775"/>
      <c r="BR50" s="370"/>
      <c r="BS50" s="774"/>
      <c r="BT50" s="380">
        <v>0</v>
      </c>
      <c r="BU50" s="770"/>
      <c r="BV50" s="775"/>
      <c r="BX50" s="776"/>
      <c r="BY50" s="386">
        <v>0.051</v>
      </c>
      <c r="BZ50" s="770"/>
      <c r="CA50" s="777"/>
      <c r="CB50" s="368"/>
      <c r="CC50" s="776"/>
      <c r="CD50" s="380">
        <v>0</v>
      </c>
      <c r="CE50" s="770"/>
      <c r="CF50" s="777"/>
      <c r="CG50" s="387"/>
      <c r="CH50" s="776"/>
      <c r="CI50" s="386">
        <v>0.0138</v>
      </c>
      <c r="CJ50" s="770"/>
      <c r="CK50" s="777"/>
      <c r="CL50" s="370"/>
      <c r="CM50" s="774"/>
      <c r="CN50" s="380">
        <v>0</v>
      </c>
      <c r="CO50" s="770"/>
      <c r="CP50" s="775"/>
      <c r="CQ50" s="370"/>
      <c r="CR50" s="776"/>
      <c r="CS50" s="380">
        <v>0.0288</v>
      </c>
      <c r="CT50" s="770"/>
      <c r="CU50" s="777"/>
      <c r="CV50" s="368"/>
      <c r="CW50" s="774"/>
      <c r="CX50" s="390">
        <v>0</v>
      </c>
      <c r="CY50" s="770"/>
      <c r="CZ50" s="775"/>
      <c r="DA50" s="387"/>
      <c r="DB50" s="774"/>
      <c r="DC50" s="380">
        <v>0.0504</v>
      </c>
      <c r="DD50" s="770"/>
      <c r="DE50" s="775"/>
      <c r="DF50" s="370"/>
      <c r="DG50" s="774"/>
      <c r="DH50" s="380">
        <v>0</v>
      </c>
      <c r="DI50" s="770"/>
      <c r="DJ50" s="775"/>
    </row>
    <row r="51" spans="1:114" ht="12.75">
      <c r="A51" s="769">
        <v>0</v>
      </c>
      <c r="B51" s="380">
        <v>1041.6</v>
      </c>
      <c r="C51" s="770">
        <f>ROUND(B51+B52,3)</f>
        <v>1986.6</v>
      </c>
      <c r="D51" s="771">
        <f>ROUND((D49+C51/14000),4)</f>
        <v>3.5676</v>
      </c>
      <c r="E51" s="772">
        <v>0</v>
      </c>
      <c r="F51" s="390">
        <v>0</v>
      </c>
      <c r="G51" s="770">
        <f>ROUND((42000*(F51+F52)/2),3)</f>
        <v>0</v>
      </c>
      <c r="H51" s="773">
        <f>ROUND((H49+G51/14000),4)</f>
        <v>0</v>
      </c>
      <c r="I51" s="774">
        <v>0</v>
      </c>
      <c r="J51" s="380">
        <v>222.6</v>
      </c>
      <c r="K51" s="770">
        <f>ROUND((J51+J52),3)</f>
        <v>424.2</v>
      </c>
      <c r="L51" s="773">
        <f>ROUND((L49+K51/14000),4)</f>
        <v>0.7134</v>
      </c>
      <c r="M51" s="774">
        <v>0</v>
      </c>
      <c r="N51" s="380">
        <v>0</v>
      </c>
      <c r="O51" s="770">
        <f>ROUND((42000*(N51+N52)/2),3)</f>
        <v>0</v>
      </c>
      <c r="P51" s="773">
        <f>ROUND((P49+O51/14000),4)</f>
        <v>0</v>
      </c>
      <c r="R51" s="774">
        <v>0</v>
      </c>
      <c r="S51" s="614">
        <v>743.4</v>
      </c>
      <c r="T51" s="770">
        <f>ROUND((S51+S52),3)</f>
        <v>1407</v>
      </c>
      <c r="U51" s="775">
        <f>ROUND((U49+T51/14000),4)</f>
        <v>2.6202</v>
      </c>
      <c r="V51" s="774">
        <v>0</v>
      </c>
      <c r="W51" s="380">
        <v>0</v>
      </c>
      <c r="X51" s="770">
        <f>ROUND((42000*(W51+W52)/2),3)</f>
        <v>0</v>
      </c>
      <c r="Y51" s="775">
        <f>ROUND((Y49+X51/14000),4)</f>
        <v>0</v>
      </c>
      <c r="Z51" s="385"/>
      <c r="AA51" s="774">
        <v>0</v>
      </c>
      <c r="AB51" s="617">
        <v>46.2</v>
      </c>
      <c r="AC51" s="770">
        <f>ROUND((AB51+AB52),3)</f>
        <v>75.6</v>
      </c>
      <c r="AD51" s="775">
        <f>ROUND((AD49+AC51/14000),4)</f>
        <v>0.1704</v>
      </c>
      <c r="AE51" s="774">
        <v>0</v>
      </c>
      <c r="AF51" s="614">
        <v>0</v>
      </c>
      <c r="AG51" s="770">
        <f>ROUND((AF51+AF52),3)</f>
        <v>21</v>
      </c>
      <c r="AH51" s="775">
        <f>ROUND((AH49+AG51/14000),4)</f>
        <v>0.0729</v>
      </c>
      <c r="AJ51" s="776">
        <v>0</v>
      </c>
      <c r="AK51" s="391">
        <v>0.0242</v>
      </c>
      <c r="AL51" s="770">
        <f>ROUND((9600*(AK51+AK52)/2),3)</f>
        <v>265.92</v>
      </c>
      <c r="AM51" s="777">
        <f>ROUND((AM49+AL51/9600),4)</f>
        <v>0.6439</v>
      </c>
      <c r="AN51" s="368"/>
      <c r="AO51" s="776">
        <v>0</v>
      </c>
      <c r="AP51" s="380">
        <v>0</v>
      </c>
      <c r="AQ51" s="770">
        <f>ROUND((14000*(AP51+AP52)/2),3)</f>
        <v>0</v>
      </c>
      <c r="AR51" s="777">
        <f>ROUND((AR49+AQ51/9600),4)</f>
        <v>0</v>
      </c>
      <c r="AS51" s="387"/>
      <c r="AT51" s="776">
        <v>0</v>
      </c>
      <c r="AU51" s="391">
        <v>0.0002</v>
      </c>
      <c r="AV51" s="770">
        <f>ROUND((9600*(AU51+AU52)/2),3)</f>
        <v>2.88</v>
      </c>
      <c r="AW51" s="777">
        <f>ROUND((AW49+AV51/9600),4)</f>
        <v>0.0892</v>
      </c>
      <c r="AX51" s="370"/>
      <c r="AY51" s="774">
        <v>0</v>
      </c>
      <c r="AZ51" s="380">
        <v>0.0044</v>
      </c>
      <c r="BA51" s="770">
        <f>ROUND((9600*(AZ51+AZ52)/2),3)</f>
        <v>33.6</v>
      </c>
      <c r="BB51" s="775">
        <f>ROUND((BB49+BA51/9600),4)</f>
        <v>0.0269</v>
      </c>
      <c r="BD51" s="776">
        <v>0</v>
      </c>
      <c r="BE51" s="391">
        <v>0</v>
      </c>
      <c r="BF51" s="770">
        <f>ROUND((15*(BE51+BE52)/2),3)</f>
        <v>0.006</v>
      </c>
      <c r="BG51" s="777">
        <f>ROUND((BG49+BF51/15),4)</f>
        <v>0.0136</v>
      </c>
      <c r="BH51" s="368"/>
      <c r="BI51" s="774">
        <v>0</v>
      </c>
      <c r="BJ51" s="390">
        <v>0</v>
      </c>
      <c r="BK51" s="770">
        <f>ROUND((15*(BJ51+BJ52)/2),3)</f>
        <v>0</v>
      </c>
      <c r="BL51" s="775">
        <f>ROUND((BL49+BK51/15),4)</f>
        <v>0</v>
      </c>
      <c r="BM51" s="387"/>
      <c r="BN51" s="774">
        <v>0</v>
      </c>
      <c r="BO51" s="391">
        <v>0.0024</v>
      </c>
      <c r="BP51" s="770">
        <f>ROUND((15*(BO51+BO52)/2),3)</f>
        <v>0.03</v>
      </c>
      <c r="BQ51" s="775">
        <f>ROUND((BQ49+BP51/15),4)</f>
        <v>0.0376</v>
      </c>
      <c r="BR51" s="370"/>
      <c r="BS51" s="774">
        <v>0</v>
      </c>
      <c r="BT51" s="380">
        <v>0</v>
      </c>
      <c r="BU51" s="770">
        <f>ROUND((15*(BT51+BT52)/2),3)</f>
        <v>0</v>
      </c>
      <c r="BV51" s="775">
        <f>ROUND((BV49+BU51/15),4)</f>
        <v>0</v>
      </c>
      <c r="BX51" s="776">
        <v>0</v>
      </c>
      <c r="BY51" s="386">
        <v>0.0466</v>
      </c>
      <c r="BZ51" s="770">
        <f>ROUND((9600*(BY51+BY52)/2),3)</f>
        <v>439.68</v>
      </c>
      <c r="CA51" s="777">
        <f>ROUND((CA49+BZ51/9600),4)</f>
        <v>1.0306</v>
      </c>
      <c r="CB51" s="368"/>
      <c r="CC51" s="776">
        <v>0</v>
      </c>
      <c r="CD51" s="380">
        <v>0</v>
      </c>
      <c r="CE51" s="770">
        <f>ROUND((14000*(CD51+CD52)/2),3)</f>
        <v>0</v>
      </c>
      <c r="CF51" s="777">
        <f>ROUND((CF49+CE51/9600),4)</f>
        <v>0</v>
      </c>
      <c r="CG51" s="387"/>
      <c r="CH51" s="776">
        <v>0</v>
      </c>
      <c r="CI51" s="386">
        <v>0.0134</v>
      </c>
      <c r="CJ51" s="770">
        <f>ROUND((9600*(CI51+CI52)/2),3)</f>
        <v>129.6</v>
      </c>
      <c r="CK51" s="777">
        <f>ROUND((CK49+CJ51/9600),4)</f>
        <v>0.2779</v>
      </c>
      <c r="CL51" s="370"/>
      <c r="CM51" s="774">
        <v>0</v>
      </c>
      <c r="CN51" s="380">
        <v>0</v>
      </c>
      <c r="CO51" s="770">
        <f>ROUND((9600*(CN51+CN52)/2),3)</f>
        <v>0</v>
      </c>
      <c r="CP51" s="775">
        <f>ROUND((CP49+CO51/9600),4)</f>
        <v>0</v>
      </c>
      <c r="CQ51" s="370"/>
      <c r="CR51" s="776">
        <v>0</v>
      </c>
      <c r="CS51" s="380">
        <v>0.0288</v>
      </c>
      <c r="CT51" s="770">
        <f>ROUND((15*(CS51+CS52)/2),3)</f>
        <v>0.426</v>
      </c>
      <c r="CU51" s="777">
        <f>ROUND((CU49+CT51/15),4)</f>
        <v>0.1976</v>
      </c>
      <c r="CV51" s="368"/>
      <c r="CW51" s="774">
        <v>0</v>
      </c>
      <c r="CX51" s="390">
        <v>0</v>
      </c>
      <c r="CY51" s="770">
        <f>ROUND((15*(CX51+CX52)/2),3)</f>
        <v>0</v>
      </c>
      <c r="CZ51" s="775">
        <f>ROUND((CZ49+CY51/15),4)</f>
        <v>0</v>
      </c>
      <c r="DA51" s="387"/>
      <c r="DB51" s="774">
        <v>0</v>
      </c>
      <c r="DC51" s="380">
        <v>0.0472</v>
      </c>
      <c r="DD51" s="770">
        <f>ROUND((15*(DC51+DC52)/2),3)</f>
        <v>0.702</v>
      </c>
      <c r="DE51" s="775">
        <f>ROUND((DE49+DD51/15),4)</f>
        <v>0.2292</v>
      </c>
      <c r="DF51" s="370"/>
      <c r="DG51" s="774">
        <v>0</v>
      </c>
      <c r="DH51" s="380">
        <v>0</v>
      </c>
      <c r="DI51" s="770">
        <f>ROUND((15*(DH51+DH52)/2),3)</f>
        <v>0</v>
      </c>
      <c r="DJ51" s="775">
        <f>ROUND((DJ49+DI51/15),4)</f>
        <v>0</v>
      </c>
    </row>
    <row r="52" spans="1:114" ht="12.75">
      <c r="A52" s="769"/>
      <c r="B52" s="380">
        <v>945</v>
      </c>
      <c r="C52" s="770"/>
      <c r="D52" s="771"/>
      <c r="E52" s="772"/>
      <c r="F52" s="390">
        <v>0</v>
      </c>
      <c r="G52" s="770"/>
      <c r="H52" s="773"/>
      <c r="I52" s="774"/>
      <c r="J52" s="380">
        <v>201.6</v>
      </c>
      <c r="K52" s="770"/>
      <c r="L52" s="773"/>
      <c r="M52" s="774"/>
      <c r="N52" s="380">
        <v>0</v>
      </c>
      <c r="O52" s="770"/>
      <c r="P52" s="773"/>
      <c r="R52" s="774"/>
      <c r="S52" s="614">
        <v>663.6</v>
      </c>
      <c r="T52" s="770"/>
      <c r="U52" s="775"/>
      <c r="V52" s="774"/>
      <c r="W52" s="380">
        <v>0</v>
      </c>
      <c r="X52" s="770"/>
      <c r="Y52" s="775"/>
      <c r="Z52" s="385"/>
      <c r="AA52" s="774"/>
      <c r="AB52" s="617">
        <v>29.4</v>
      </c>
      <c r="AC52" s="770"/>
      <c r="AD52" s="775"/>
      <c r="AE52" s="774"/>
      <c r="AF52" s="614">
        <v>21</v>
      </c>
      <c r="AG52" s="770"/>
      <c r="AH52" s="775"/>
      <c r="AJ52" s="776"/>
      <c r="AK52" s="391">
        <v>0.0312</v>
      </c>
      <c r="AL52" s="770"/>
      <c r="AM52" s="777"/>
      <c r="AN52" s="368"/>
      <c r="AO52" s="776"/>
      <c r="AP52" s="380">
        <v>0</v>
      </c>
      <c r="AQ52" s="770"/>
      <c r="AR52" s="777"/>
      <c r="AS52" s="387"/>
      <c r="AT52" s="776"/>
      <c r="AU52" s="391">
        <v>0.0004</v>
      </c>
      <c r="AV52" s="770"/>
      <c r="AW52" s="777"/>
      <c r="AX52" s="370"/>
      <c r="AY52" s="774"/>
      <c r="AZ52" s="380">
        <v>0.0026</v>
      </c>
      <c r="BA52" s="770"/>
      <c r="BB52" s="775"/>
      <c r="BD52" s="776"/>
      <c r="BE52" s="391">
        <v>0.0008</v>
      </c>
      <c r="BF52" s="770"/>
      <c r="BG52" s="777"/>
      <c r="BH52" s="368"/>
      <c r="BI52" s="774"/>
      <c r="BJ52" s="390">
        <v>0</v>
      </c>
      <c r="BK52" s="770"/>
      <c r="BL52" s="775"/>
      <c r="BM52" s="387"/>
      <c r="BN52" s="774"/>
      <c r="BO52" s="391">
        <v>0.0016</v>
      </c>
      <c r="BP52" s="770"/>
      <c r="BQ52" s="775"/>
      <c r="BR52" s="370"/>
      <c r="BS52" s="774"/>
      <c r="BT52" s="380">
        <v>0</v>
      </c>
      <c r="BU52" s="770"/>
      <c r="BV52" s="775"/>
      <c r="BX52" s="776"/>
      <c r="BY52" s="386">
        <v>0.045</v>
      </c>
      <c r="BZ52" s="770"/>
      <c r="CA52" s="777"/>
      <c r="CB52" s="368"/>
      <c r="CC52" s="776"/>
      <c r="CD52" s="380">
        <v>0</v>
      </c>
      <c r="CE52" s="770"/>
      <c r="CF52" s="777"/>
      <c r="CG52" s="387"/>
      <c r="CH52" s="776"/>
      <c r="CI52" s="386">
        <v>0.0136</v>
      </c>
      <c r="CJ52" s="770"/>
      <c r="CK52" s="777"/>
      <c r="CL52" s="370"/>
      <c r="CM52" s="774"/>
      <c r="CN52" s="380">
        <v>0</v>
      </c>
      <c r="CO52" s="770"/>
      <c r="CP52" s="775"/>
      <c r="CQ52" s="370"/>
      <c r="CR52" s="776"/>
      <c r="CS52" s="380">
        <v>0.028</v>
      </c>
      <c r="CT52" s="770"/>
      <c r="CU52" s="777"/>
      <c r="CV52" s="368"/>
      <c r="CW52" s="774"/>
      <c r="CX52" s="390">
        <v>0</v>
      </c>
      <c r="CY52" s="770"/>
      <c r="CZ52" s="775"/>
      <c r="DA52" s="387"/>
      <c r="DB52" s="774"/>
      <c r="DC52" s="380">
        <v>0.0464</v>
      </c>
      <c r="DD52" s="770"/>
      <c r="DE52" s="775"/>
      <c r="DF52" s="370"/>
      <c r="DG52" s="774"/>
      <c r="DH52" s="380">
        <v>0</v>
      </c>
      <c r="DI52" s="770"/>
      <c r="DJ52" s="775"/>
    </row>
    <row r="53" spans="1:114" ht="12.75">
      <c r="A53" s="769">
        <v>1</v>
      </c>
      <c r="B53" s="380">
        <v>873.6</v>
      </c>
      <c r="C53" s="770">
        <f>ROUND(B53+B54,3)</f>
        <v>1701</v>
      </c>
      <c r="D53" s="771">
        <f>ROUND((D51+C53/14000),4)</f>
        <v>3.6891</v>
      </c>
      <c r="E53" s="772">
        <v>1</v>
      </c>
      <c r="F53" s="380">
        <v>0</v>
      </c>
      <c r="G53" s="770">
        <f>ROUND((42000*(F53+F54)/2),3)</f>
        <v>0</v>
      </c>
      <c r="H53" s="773">
        <f>ROUND((H51+G53/14000),4)</f>
        <v>0</v>
      </c>
      <c r="I53" s="774">
        <v>1</v>
      </c>
      <c r="J53" s="380">
        <v>189</v>
      </c>
      <c r="K53" s="770">
        <f>ROUND((J53+J54),3)</f>
        <v>386.4</v>
      </c>
      <c r="L53" s="773">
        <f>ROUND((L51+K53/14000),4)</f>
        <v>0.741</v>
      </c>
      <c r="M53" s="774">
        <v>1</v>
      </c>
      <c r="N53" s="380">
        <v>0</v>
      </c>
      <c r="O53" s="770">
        <f>ROUND((42000*(N53+N54)/2),3)</f>
        <v>0</v>
      </c>
      <c r="P53" s="773">
        <f>ROUND((P51+O53/14000),4)</f>
        <v>0</v>
      </c>
      <c r="R53" s="774">
        <v>1</v>
      </c>
      <c r="S53" s="614">
        <v>621.6</v>
      </c>
      <c r="T53" s="770">
        <f>ROUND((S53+S54),3)</f>
        <v>1184.4</v>
      </c>
      <c r="U53" s="775">
        <f>ROUND((U51+T53/14000),4)</f>
        <v>2.7048</v>
      </c>
      <c r="V53" s="774">
        <v>1</v>
      </c>
      <c r="W53" s="380">
        <v>0</v>
      </c>
      <c r="X53" s="770">
        <f>ROUND((42000*(W53+W54)/2),3)</f>
        <v>0</v>
      </c>
      <c r="Y53" s="775">
        <f>ROUND((Y51+X53/14000),4)</f>
        <v>0</v>
      </c>
      <c r="Z53" s="385"/>
      <c r="AA53" s="774">
        <v>1</v>
      </c>
      <c r="AB53" s="614">
        <v>21</v>
      </c>
      <c r="AC53" s="770">
        <f>ROUND((AB53+AB54),3)</f>
        <v>29.4</v>
      </c>
      <c r="AD53" s="775">
        <f>ROUND((AD51+AC53/14000),4)</f>
        <v>0.1725</v>
      </c>
      <c r="AE53" s="774">
        <v>1</v>
      </c>
      <c r="AF53" s="614">
        <v>25.2</v>
      </c>
      <c r="AG53" s="770">
        <f>ROUND((AF53+AF54),3)</f>
        <v>75.6</v>
      </c>
      <c r="AH53" s="775">
        <f>ROUND((AH51+AG53/14000),4)</f>
        <v>0.0783</v>
      </c>
      <c r="AJ53" s="776">
        <v>1</v>
      </c>
      <c r="AK53" s="386">
        <v>0.0254</v>
      </c>
      <c r="AL53" s="770">
        <f>ROUND((9600*(AK53+AK54)/2),3)</f>
        <v>267.84</v>
      </c>
      <c r="AM53" s="777">
        <f>ROUND((AM51+AL53/9600),4)</f>
        <v>0.6718</v>
      </c>
      <c r="AN53" s="368"/>
      <c r="AO53" s="776">
        <v>1</v>
      </c>
      <c r="AP53" s="380">
        <v>0</v>
      </c>
      <c r="AQ53" s="770">
        <f>ROUND((14000*(AP53+AP54)/2),3)</f>
        <v>0</v>
      </c>
      <c r="AR53" s="777">
        <f>ROUND((AR51+AQ53/9600),4)</f>
        <v>0</v>
      </c>
      <c r="AS53" s="387"/>
      <c r="AT53" s="776">
        <v>1</v>
      </c>
      <c r="AU53" s="386">
        <v>0.0002</v>
      </c>
      <c r="AV53" s="770">
        <f>ROUND((9600*(AU53+AU54)/2),3)</f>
        <v>8.64</v>
      </c>
      <c r="AW53" s="777">
        <f>ROUND((AW51+AV53/9600),4)</f>
        <v>0.0901</v>
      </c>
      <c r="AX53" s="370"/>
      <c r="AY53" s="774">
        <v>1</v>
      </c>
      <c r="AZ53" s="380">
        <v>0.004</v>
      </c>
      <c r="BA53" s="770">
        <f>ROUND((9600*(AZ53+AZ54)/2),3)</f>
        <v>33.6</v>
      </c>
      <c r="BB53" s="775">
        <f>ROUND((BB51+BA53/9600),4)</f>
        <v>0.0304</v>
      </c>
      <c r="BD53" s="776">
        <v>1</v>
      </c>
      <c r="BE53" s="386">
        <v>0.0008</v>
      </c>
      <c r="BF53" s="770">
        <f>ROUND((15*(BE53+BE54)/2),3)</f>
        <v>0.012</v>
      </c>
      <c r="BG53" s="777">
        <f>ROUND((BG51+BF53/15),4)</f>
        <v>0.0144</v>
      </c>
      <c r="BH53" s="368"/>
      <c r="BI53" s="774">
        <v>1</v>
      </c>
      <c r="BJ53" s="380">
        <v>0</v>
      </c>
      <c r="BK53" s="770">
        <f>ROUND((15*(BJ53+BJ54)/2),3)</f>
        <v>0</v>
      </c>
      <c r="BL53" s="775">
        <f>ROUND((BL51+BK53/15),4)</f>
        <v>0</v>
      </c>
      <c r="BM53" s="387"/>
      <c r="BN53" s="774">
        <v>1</v>
      </c>
      <c r="BO53" s="386">
        <v>0.0016</v>
      </c>
      <c r="BP53" s="770">
        <f>ROUND((15*(BO53+BO54)/2),3)</f>
        <v>0.024</v>
      </c>
      <c r="BQ53" s="775">
        <f>ROUND((BQ51+BP53/15),4)</f>
        <v>0.0392</v>
      </c>
      <c r="BR53" s="370"/>
      <c r="BS53" s="774">
        <v>1</v>
      </c>
      <c r="BT53" s="380">
        <v>0</v>
      </c>
      <c r="BU53" s="770">
        <f>ROUND((15*(BT53+BT54)/2),3)</f>
        <v>0</v>
      </c>
      <c r="BV53" s="775">
        <f>ROUND((BV51+BU53/15),4)</f>
        <v>0</v>
      </c>
      <c r="BX53" s="776">
        <v>1</v>
      </c>
      <c r="BY53" s="386">
        <v>0.0428</v>
      </c>
      <c r="BZ53" s="770">
        <f>ROUND((9600*(BY53+BY54)/2),3)</f>
        <v>401.28</v>
      </c>
      <c r="CA53" s="777">
        <f>ROUND((CA51+BZ53/9600),4)</f>
        <v>1.0724</v>
      </c>
      <c r="CB53" s="368"/>
      <c r="CC53" s="776">
        <v>1</v>
      </c>
      <c r="CD53" s="380">
        <v>0</v>
      </c>
      <c r="CE53" s="770">
        <f>ROUND((14000*(CD53+CD54)/2),3)</f>
        <v>0</v>
      </c>
      <c r="CF53" s="777">
        <f>ROUND((CF51+CE53/9600),4)</f>
        <v>0</v>
      </c>
      <c r="CG53" s="387"/>
      <c r="CH53" s="776">
        <v>1</v>
      </c>
      <c r="CI53" s="386">
        <v>0.0136</v>
      </c>
      <c r="CJ53" s="770">
        <f>ROUND((9600*(CI53+CI54)/2),3)</f>
        <v>125.76</v>
      </c>
      <c r="CK53" s="777">
        <f>ROUND((CK51+CJ53/9600),4)</f>
        <v>0.291</v>
      </c>
      <c r="CL53" s="370"/>
      <c r="CM53" s="774">
        <v>1</v>
      </c>
      <c r="CN53" s="380">
        <v>0</v>
      </c>
      <c r="CO53" s="770">
        <f>ROUND((9600*(CN53+CN54)/2),3)</f>
        <v>0</v>
      </c>
      <c r="CP53" s="775">
        <f>ROUND((CP51+CO53/9600),4)</f>
        <v>0</v>
      </c>
      <c r="CQ53" s="370"/>
      <c r="CR53" s="776">
        <v>1</v>
      </c>
      <c r="CS53" s="380">
        <v>0.0288</v>
      </c>
      <c r="CT53" s="770">
        <f>ROUND((15*(CS53+CS54)/2),3)</f>
        <v>0.432</v>
      </c>
      <c r="CU53" s="777">
        <f>ROUND((CU51+CT53/15),4)</f>
        <v>0.2264</v>
      </c>
      <c r="CV53" s="368"/>
      <c r="CW53" s="774">
        <v>1</v>
      </c>
      <c r="CX53" s="380">
        <v>0</v>
      </c>
      <c r="CY53" s="770">
        <f>ROUND((15*(CX53+CX54)/2),3)</f>
        <v>0</v>
      </c>
      <c r="CZ53" s="775">
        <f>ROUND((CZ51+CY53/15),4)</f>
        <v>0</v>
      </c>
      <c r="DA53" s="387"/>
      <c r="DB53" s="774">
        <v>1</v>
      </c>
      <c r="DC53" s="380">
        <v>0.0464</v>
      </c>
      <c r="DD53" s="770">
        <f>ROUND((15*(DC53+DC54)/2),3)</f>
        <v>0.696</v>
      </c>
      <c r="DE53" s="775">
        <f>ROUND((DE51+DD53/15),4)</f>
        <v>0.2756</v>
      </c>
      <c r="DF53" s="370"/>
      <c r="DG53" s="774">
        <v>1</v>
      </c>
      <c r="DH53" s="380">
        <v>0</v>
      </c>
      <c r="DI53" s="770">
        <f>ROUND((15*(DH53+DH54)/2),3)</f>
        <v>0</v>
      </c>
      <c r="DJ53" s="775">
        <f>ROUND((DJ51+DI53/15),4)</f>
        <v>0</v>
      </c>
    </row>
    <row r="54" spans="1:114" ht="12.75">
      <c r="A54" s="769"/>
      <c r="B54" s="380">
        <v>827.4</v>
      </c>
      <c r="C54" s="770"/>
      <c r="D54" s="771"/>
      <c r="E54" s="772"/>
      <c r="F54" s="380">
        <v>0</v>
      </c>
      <c r="G54" s="770"/>
      <c r="H54" s="773"/>
      <c r="I54" s="774"/>
      <c r="J54" s="380">
        <v>197.4</v>
      </c>
      <c r="K54" s="770"/>
      <c r="L54" s="773"/>
      <c r="M54" s="774"/>
      <c r="N54" s="380">
        <v>0</v>
      </c>
      <c r="O54" s="770"/>
      <c r="P54" s="773"/>
      <c r="R54" s="774"/>
      <c r="S54" s="614">
        <v>562.8</v>
      </c>
      <c r="T54" s="770"/>
      <c r="U54" s="775"/>
      <c r="V54" s="774"/>
      <c r="W54" s="380">
        <v>0</v>
      </c>
      <c r="X54" s="770"/>
      <c r="Y54" s="775"/>
      <c r="Z54" s="385"/>
      <c r="AA54" s="774"/>
      <c r="AB54" s="614">
        <v>8.4</v>
      </c>
      <c r="AC54" s="770"/>
      <c r="AD54" s="775"/>
      <c r="AE54" s="774"/>
      <c r="AF54" s="614">
        <v>50.4</v>
      </c>
      <c r="AG54" s="770"/>
      <c r="AH54" s="775"/>
      <c r="AJ54" s="776"/>
      <c r="AK54" s="386">
        <v>0.0304</v>
      </c>
      <c r="AL54" s="770"/>
      <c r="AM54" s="777"/>
      <c r="AN54" s="368"/>
      <c r="AO54" s="776"/>
      <c r="AP54" s="380">
        <v>0</v>
      </c>
      <c r="AQ54" s="770"/>
      <c r="AR54" s="777"/>
      <c r="AS54" s="387"/>
      <c r="AT54" s="776"/>
      <c r="AU54" s="386">
        <v>0.0016</v>
      </c>
      <c r="AV54" s="770"/>
      <c r="AW54" s="777"/>
      <c r="AX54" s="370"/>
      <c r="AY54" s="774"/>
      <c r="AZ54" s="380">
        <v>0.003</v>
      </c>
      <c r="BA54" s="770"/>
      <c r="BB54" s="775"/>
      <c r="BD54" s="776"/>
      <c r="BE54" s="386">
        <v>0.0008</v>
      </c>
      <c r="BF54" s="770"/>
      <c r="BG54" s="777"/>
      <c r="BH54" s="368"/>
      <c r="BI54" s="774"/>
      <c r="BJ54" s="380">
        <v>0</v>
      </c>
      <c r="BK54" s="770"/>
      <c r="BL54" s="775"/>
      <c r="BM54" s="387"/>
      <c r="BN54" s="774"/>
      <c r="BO54" s="386">
        <v>0.0016</v>
      </c>
      <c r="BP54" s="770"/>
      <c r="BQ54" s="775"/>
      <c r="BR54" s="370"/>
      <c r="BS54" s="774"/>
      <c r="BT54" s="380">
        <v>0</v>
      </c>
      <c r="BU54" s="770"/>
      <c r="BV54" s="775"/>
      <c r="BX54" s="776"/>
      <c r="BY54" s="386">
        <v>0.0408</v>
      </c>
      <c r="BZ54" s="770"/>
      <c r="CA54" s="777"/>
      <c r="CB54" s="368"/>
      <c r="CC54" s="776"/>
      <c r="CD54" s="380">
        <v>0</v>
      </c>
      <c r="CE54" s="770"/>
      <c r="CF54" s="777"/>
      <c r="CG54" s="387"/>
      <c r="CH54" s="776"/>
      <c r="CI54" s="386">
        <v>0.0126</v>
      </c>
      <c r="CJ54" s="770"/>
      <c r="CK54" s="777"/>
      <c r="CL54" s="370"/>
      <c r="CM54" s="774"/>
      <c r="CN54" s="380">
        <v>0</v>
      </c>
      <c r="CO54" s="770"/>
      <c r="CP54" s="775"/>
      <c r="CQ54" s="370"/>
      <c r="CR54" s="776"/>
      <c r="CS54" s="380">
        <v>0.0288</v>
      </c>
      <c r="CT54" s="770"/>
      <c r="CU54" s="777"/>
      <c r="CV54" s="368"/>
      <c r="CW54" s="774"/>
      <c r="CX54" s="380">
        <v>0</v>
      </c>
      <c r="CY54" s="770"/>
      <c r="CZ54" s="775"/>
      <c r="DA54" s="387"/>
      <c r="DB54" s="774"/>
      <c r="DC54" s="380">
        <v>0.0464</v>
      </c>
      <c r="DD54" s="770"/>
      <c r="DE54" s="775"/>
      <c r="DF54" s="370"/>
      <c r="DG54" s="774"/>
      <c r="DH54" s="380">
        <v>0</v>
      </c>
      <c r="DI54" s="770"/>
      <c r="DJ54" s="775"/>
    </row>
    <row r="55" spans="1:114" ht="12.75">
      <c r="A55" s="769">
        <v>2</v>
      </c>
      <c r="B55" s="380">
        <v>793.8</v>
      </c>
      <c r="C55" s="770">
        <f>ROUND(B55+B56,3)</f>
        <v>1566.6</v>
      </c>
      <c r="D55" s="771">
        <f>ROUND((D53+C55/14000),4)</f>
        <v>3.801</v>
      </c>
      <c r="E55" s="772">
        <v>2</v>
      </c>
      <c r="F55" s="380">
        <v>0</v>
      </c>
      <c r="G55" s="770">
        <f>ROUND((42000*(F55+F56)/2),3)</f>
        <v>0</v>
      </c>
      <c r="H55" s="773">
        <f>ROUND((H53+G55/14000),4)</f>
        <v>0</v>
      </c>
      <c r="I55" s="774">
        <v>2</v>
      </c>
      <c r="J55" s="380">
        <v>193.2</v>
      </c>
      <c r="K55" s="770">
        <f>ROUND((J55+J56),3)</f>
        <v>386.4</v>
      </c>
      <c r="L55" s="773">
        <f>ROUND((L53+K55/14000),4)</f>
        <v>0.7686</v>
      </c>
      <c r="M55" s="774">
        <v>2</v>
      </c>
      <c r="N55" s="380">
        <v>0</v>
      </c>
      <c r="O55" s="770">
        <f>ROUND((42000*(N55+N56)/2),3)</f>
        <v>0</v>
      </c>
      <c r="P55" s="773">
        <f>ROUND((P53+O55/14000),4)</f>
        <v>0</v>
      </c>
      <c r="R55" s="774">
        <v>2</v>
      </c>
      <c r="S55" s="614">
        <v>520.8</v>
      </c>
      <c r="T55" s="770">
        <f>ROUND((S55+S56),3)</f>
        <v>1029</v>
      </c>
      <c r="U55" s="775">
        <f>ROUND((U53+T55/14000),4)</f>
        <v>2.7783</v>
      </c>
      <c r="V55" s="774">
        <v>2</v>
      </c>
      <c r="W55" s="380">
        <v>0</v>
      </c>
      <c r="X55" s="770">
        <f>ROUND((42000*(W55+W56)/2),3)</f>
        <v>0</v>
      </c>
      <c r="Y55" s="775">
        <f>ROUND((Y53+X55/14000),4)</f>
        <v>0</v>
      </c>
      <c r="Z55" s="385"/>
      <c r="AA55" s="774">
        <v>2</v>
      </c>
      <c r="AB55" s="614">
        <v>4.2</v>
      </c>
      <c r="AC55" s="770">
        <f>ROUND((AB55+AB56),3)</f>
        <v>8.4</v>
      </c>
      <c r="AD55" s="775">
        <f>ROUND((AD53+AC55/14000),4)</f>
        <v>0.1731</v>
      </c>
      <c r="AE55" s="774">
        <v>2</v>
      </c>
      <c r="AF55" s="614">
        <v>54.6</v>
      </c>
      <c r="AG55" s="770">
        <f>ROUND((AF55+AF56),3)</f>
        <v>168</v>
      </c>
      <c r="AH55" s="775">
        <f>ROUND((AH53+AG55/14000),4)</f>
        <v>0.0903</v>
      </c>
      <c r="AJ55" s="776">
        <v>2</v>
      </c>
      <c r="AK55" s="386">
        <v>0.0304</v>
      </c>
      <c r="AL55" s="770">
        <f>ROUND((9600*(AK55+AK56)/2),3)</f>
        <v>265.92</v>
      </c>
      <c r="AM55" s="777">
        <f>ROUND((AM53+AL55/9600),4)</f>
        <v>0.6995</v>
      </c>
      <c r="AN55" s="368"/>
      <c r="AO55" s="776">
        <v>2</v>
      </c>
      <c r="AP55" s="380">
        <v>0</v>
      </c>
      <c r="AQ55" s="770">
        <f>ROUND((14000*(AP55+AP56)/2),3)</f>
        <v>0</v>
      </c>
      <c r="AR55" s="777">
        <f>ROUND((AR53+AQ55/9600),4)</f>
        <v>0</v>
      </c>
      <c r="AS55" s="385"/>
      <c r="AT55" s="776">
        <v>2</v>
      </c>
      <c r="AU55" s="386">
        <v>0.0002</v>
      </c>
      <c r="AV55" s="770">
        <f>ROUND((9600*(AU55+AU56)/2),3)</f>
        <v>0.96</v>
      </c>
      <c r="AW55" s="777">
        <f>ROUND((AW53+AV55/9600),4)</f>
        <v>0.0902</v>
      </c>
      <c r="AX55" s="363"/>
      <c r="AY55" s="774">
        <v>2</v>
      </c>
      <c r="AZ55" s="380">
        <v>0.004</v>
      </c>
      <c r="BA55" s="770">
        <f>ROUND((9600*(AZ55+AZ56)/2),3)</f>
        <v>38.4</v>
      </c>
      <c r="BB55" s="775">
        <f>ROUND((BB53+BA55/9600),4)</f>
        <v>0.0344</v>
      </c>
      <c r="BD55" s="776">
        <v>2</v>
      </c>
      <c r="BE55" s="386">
        <v>0</v>
      </c>
      <c r="BF55" s="770">
        <f>ROUND((15*(BE55+BE56)/2),3)</f>
        <v>0.006</v>
      </c>
      <c r="BG55" s="777">
        <f>ROUND((BG53+BF55/15),4)</f>
        <v>0.0148</v>
      </c>
      <c r="BH55" s="368"/>
      <c r="BI55" s="774">
        <v>2</v>
      </c>
      <c r="BJ55" s="380">
        <v>0</v>
      </c>
      <c r="BK55" s="770">
        <f>ROUND((15*(BJ55+BJ56)/2),3)</f>
        <v>0</v>
      </c>
      <c r="BL55" s="775">
        <f>ROUND((BL53+BK55/15),4)</f>
        <v>0</v>
      </c>
      <c r="BM55" s="387"/>
      <c r="BN55" s="774">
        <v>2</v>
      </c>
      <c r="BO55" s="386">
        <v>0.0016</v>
      </c>
      <c r="BP55" s="770">
        <f>ROUND((15*(BO55+BO56)/2),3)</f>
        <v>0.024</v>
      </c>
      <c r="BQ55" s="775">
        <f>ROUND((BQ53+BP55/15),4)</f>
        <v>0.0408</v>
      </c>
      <c r="BR55" s="370"/>
      <c r="BS55" s="774">
        <v>2</v>
      </c>
      <c r="BT55" s="380">
        <v>0</v>
      </c>
      <c r="BU55" s="770">
        <f>ROUND((15*(BT55+BT56)/2),3)</f>
        <v>0</v>
      </c>
      <c r="BV55" s="775">
        <f>ROUND((BV53+BU55/15),4)</f>
        <v>0</v>
      </c>
      <c r="BX55" s="776">
        <v>2</v>
      </c>
      <c r="BY55" s="386">
        <v>0.041</v>
      </c>
      <c r="BZ55" s="770">
        <f>ROUND((9600*(BY55+BY56)/2),3)</f>
        <v>386.88</v>
      </c>
      <c r="CA55" s="777">
        <f>ROUND((CA53+BZ55/9600),4)</f>
        <v>1.1127</v>
      </c>
      <c r="CB55" s="368"/>
      <c r="CC55" s="776">
        <v>2</v>
      </c>
      <c r="CD55" s="380">
        <v>0</v>
      </c>
      <c r="CE55" s="770">
        <f>ROUND((14000*(CD55+CD56)/2),3)</f>
        <v>0</v>
      </c>
      <c r="CF55" s="777">
        <f>ROUND((CF53+CE55/9600),4)</f>
        <v>0</v>
      </c>
      <c r="CG55" s="387"/>
      <c r="CH55" s="776">
        <v>2</v>
      </c>
      <c r="CI55" s="386">
        <v>0.012</v>
      </c>
      <c r="CJ55" s="770">
        <f>ROUND((9600*(CI55+CI56)/2),3)</f>
        <v>114.24</v>
      </c>
      <c r="CK55" s="777">
        <f>ROUND((CK53+CJ55/9600),4)</f>
        <v>0.3029</v>
      </c>
      <c r="CL55" s="370"/>
      <c r="CM55" s="774">
        <v>2</v>
      </c>
      <c r="CN55" s="380">
        <v>0</v>
      </c>
      <c r="CO55" s="770">
        <f>ROUND((9600*(CN55+CN56)/2),3)</f>
        <v>0</v>
      </c>
      <c r="CP55" s="775">
        <f>ROUND((CP53+CO55/9600),4)</f>
        <v>0</v>
      </c>
      <c r="CQ55" s="370"/>
      <c r="CR55" s="776">
        <v>2</v>
      </c>
      <c r="CS55" s="380">
        <v>0.016</v>
      </c>
      <c r="CT55" s="770">
        <f>ROUND((15*(CS55+CS56)/2),3)</f>
        <v>0.168</v>
      </c>
      <c r="CU55" s="777">
        <f>ROUND((CU53+CT55/15),4)</f>
        <v>0.2376</v>
      </c>
      <c r="CV55" s="368"/>
      <c r="CW55" s="774">
        <v>2</v>
      </c>
      <c r="CX55" s="380">
        <v>0</v>
      </c>
      <c r="CY55" s="770">
        <f>ROUND((15*(CX55+CX56)/2),3)</f>
        <v>0</v>
      </c>
      <c r="CZ55" s="775">
        <f>ROUND((CZ53+CY55/15),4)</f>
        <v>0</v>
      </c>
      <c r="DA55" s="387"/>
      <c r="DB55" s="774">
        <v>2</v>
      </c>
      <c r="DC55" s="380">
        <v>0.024</v>
      </c>
      <c r="DD55" s="770">
        <f>ROUND((15*(DC55+DC56)/2),3)</f>
        <v>0.222</v>
      </c>
      <c r="DE55" s="775">
        <f>ROUND((DE53+DD55/15),4)</f>
        <v>0.2904</v>
      </c>
      <c r="DF55" s="370"/>
      <c r="DG55" s="774">
        <v>2</v>
      </c>
      <c r="DH55" s="380">
        <v>0</v>
      </c>
      <c r="DI55" s="770">
        <f>ROUND((15*(DH55+DH56)/2),3)</f>
        <v>0</v>
      </c>
      <c r="DJ55" s="775">
        <f>ROUND((DJ53+DI55/15),4)</f>
        <v>0</v>
      </c>
    </row>
    <row r="56" spans="1:114" ht="13.5" thickBot="1">
      <c r="A56" s="778"/>
      <c r="B56" s="392">
        <v>772.8</v>
      </c>
      <c r="C56" s="779"/>
      <c r="D56" s="780"/>
      <c r="E56" s="781"/>
      <c r="F56" s="392">
        <v>0</v>
      </c>
      <c r="G56" s="779"/>
      <c r="H56" s="782"/>
      <c r="I56" s="783"/>
      <c r="J56" s="392">
        <v>193.2</v>
      </c>
      <c r="K56" s="779"/>
      <c r="L56" s="782"/>
      <c r="M56" s="783"/>
      <c r="N56" s="392">
        <v>0</v>
      </c>
      <c r="O56" s="779"/>
      <c r="P56" s="782"/>
      <c r="R56" s="783"/>
      <c r="S56" s="615">
        <v>508.2</v>
      </c>
      <c r="T56" s="779"/>
      <c r="U56" s="784"/>
      <c r="V56" s="783"/>
      <c r="W56" s="392">
        <v>0</v>
      </c>
      <c r="X56" s="779"/>
      <c r="Y56" s="784"/>
      <c r="Z56" s="610"/>
      <c r="AA56" s="783"/>
      <c r="AB56" s="615">
        <v>4.2</v>
      </c>
      <c r="AC56" s="779"/>
      <c r="AD56" s="784"/>
      <c r="AE56" s="783"/>
      <c r="AF56" s="615">
        <v>113.4</v>
      </c>
      <c r="AG56" s="779"/>
      <c r="AH56" s="784"/>
      <c r="AJ56" s="785"/>
      <c r="AK56" s="611">
        <v>0.025</v>
      </c>
      <c r="AL56" s="779"/>
      <c r="AM56" s="786"/>
      <c r="AN56" s="368"/>
      <c r="AO56" s="785"/>
      <c r="AP56" s="392">
        <v>0</v>
      </c>
      <c r="AQ56" s="779"/>
      <c r="AR56" s="786"/>
      <c r="AS56" s="612"/>
      <c r="AT56" s="785"/>
      <c r="AU56" s="611">
        <v>0</v>
      </c>
      <c r="AV56" s="779"/>
      <c r="AW56" s="786"/>
      <c r="AX56" s="368"/>
      <c r="AY56" s="783"/>
      <c r="AZ56" s="392">
        <v>0.004</v>
      </c>
      <c r="BA56" s="779"/>
      <c r="BB56" s="784"/>
      <c r="BD56" s="785"/>
      <c r="BE56" s="611">
        <v>0.0008</v>
      </c>
      <c r="BF56" s="779"/>
      <c r="BG56" s="786"/>
      <c r="BH56" s="368"/>
      <c r="BI56" s="783"/>
      <c r="BJ56" s="392">
        <v>0</v>
      </c>
      <c r="BK56" s="779"/>
      <c r="BL56" s="784"/>
      <c r="BM56" s="387"/>
      <c r="BN56" s="783"/>
      <c r="BO56" s="611">
        <v>0.0016</v>
      </c>
      <c r="BP56" s="779"/>
      <c r="BQ56" s="784"/>
      <c r="BR56" s="370"/>
      <c r="BS56" s="783"/>
      <c r="BT56" s="392">
        <v>0</v>
      </c>
      <c r="BU56" s="779"/>
      <c r="BV56" s="784"/>
      <c r="BX56" s="785"/>
      <c r="BY56" s="611">
        <v>0.0396</v>
      </c>
      <c r="BZ56" s="779"/>
      <c r="CA56" s="786"/>
      <c r="CB56" s="368"/>
      <c r="CC56" s="785"/>
      <c r="CD56" s="392">
        <v>0</v>
      </c>
      <c r="CE56" s="779"/>
      <c r="CF56" s="786"/>
      <c r="CG56" s="387"/>
      <c r="CH56" s="785"/>
      <c r="CI56" s="611">
        <v>0.0118</v>
      </c>
      <c r="CJ56" s="779"/>
      <c r="CK56" s="786"/>
      <c r="CL56" s="370"/>
      <c r="CM56" s="783"/>
      <c r="CN56" s="392">
        <v>0</v>
      </c>
      <c r="CO56" s="779"/>
      <c r="CP56" s="784"/>
      <c r="CQ56" s="370"/>
      <c r="CR56" s="785"/>
      <c r="CS56" s="392">
        <v>0.0064</v>
      </c>
      <c r="CT56" s="779"/>
      <c r="CU56" s="786"/>
      <c r="CV56" s="368"/>
      <c r="CW56" s="783"/>
      <c r="CX56" s="392">
        <v>0</v>
      </c>
      <c r="CY56" s="779"/>
      <c r="CZ56" s="784"/>
      <c r="DA56" s="387"/>
      <c r="DB56" s="783"/>
      <c r="DC56" s="392">
        <v>0.0056</v>
      </c>
      <c r="DD56" s="779"/>
      <c r="DE56" s="784"/>
      <c r="DF56" s="370"/>
      <c r="DG56" s="783"/>
      <c r="DH56" s="392">
        <v>0</v>
      </c>
      <c r="DI56" s="779"/>
      <c r="DJ56" s="784"/>
    </row>
    <row r="57" spans="1:112" ht="12.75">
      <c r="A57" s="787"/>
      <c r="E57" s="787"/>
      <c r="I57" s="787"/>
      <c r="M57" s="787"/>
      <c r="N57" s="609"/>
      <c r="R57" s="787"/>
      <c r="V57" s="787"/>
      <c r="AA57" s="787"/>
      <c r="AE57" s="787"/>
      <c r="AJ57" s="787"/>
      <c r="AO57" s="787"/>
      <c r="AT57" s="787"/>
      <c r="AY57" s="787"/>
      <c r="BD57" s="787"/>
      <c r="BI57" s="787"/>
      <c r="BN57" s="787"/>
      <c r="BS57" s="787"/>
      <c r="BT57" s="609"/>
      <c r="BX57" s="787"/>
      <c r="CC57" s="787"/>
      <c r="CH57" s="787"/>
      <c r="CM57" s="787"/>
      <c r="CR57" s="787"/>
      <c r="CW57" s="787"/>
      <c r="DB57" s="787"/>
      <c r="DG57" s="787"/>
      <c r="DH57" s="609"/>
    </row>
    <row r="58" spans="1:111" ht="12.75">
      <c r="A58" s="788"/>
      <c r="E58" s="788"/>
      <c r="I58" s="788"/>
      <c r="M58" s="788"/>
      <c r="R58" s="788"/>
      <c r="V58" s="788"/>
      <c r="AA58" s="788"/>
      <c r="AE58" s="788"/>
      <c r="AJ58" s="788"/>
      <c r="AO58" s="788"/>
      <c r="AT58" s="788"/>
      <c r="AY58" s="788"/>
      <c r="BD58" s="788"/>
      <c r="BI58" s="788"/>
      <c r="BN58" s="788"/>
      <c r="BS58" s="788"/>
      <c r="BX58" s="788"/>
      <c r="CC58" s="788"/>
      <c r="CH58" s="788"/>
      <c r="CM58" s="788"/>
      <c r="CR58" s="788"/>
      <c r="CW58" s="788"/>
      <c r="DB58" s="788"/>
      <c r="DG58" s="788"/>
    </row>
    <row r="61" spans="3:109" ht="12.75">
      <c r="C61" s="348">
        <f>C4</f>
        <v>0</v>
      </c>
      <c r="D61" s="348">
        <f>D4</f>
        <v>0</v>
      </c>
      <c r="G61" s="348">
        <f>G4</f>
        <v>0</v>
      </c>
      <c r="H61" s="348">
        <f>H4</f>
        <v>0</v>
      </c>
      <c r="K61" s="348">
        <f>K4</f>
        <v>0</v>
      </c>
      <c r="L61" s="348">
        <f>L4</f>
        <v>0</v>
      </c>
      <c r="O61" s="348">
        <f>O4</f>
        <v>0</v>
      </c>
      <c r="P61" s="348">
        <f>P4</f>
        <v>0</v>
      </c>
      <c r="T61" s="348">
        <f>T4</f>
        <v>0</v>
      </c>
      <c r="U61" s="348">
        <f>U4</f>
        <v>0</v>
      </c>
      <c r="X61" s="348">
        <f>X4</f>
        <v>0</v>
      </c>
      <c r="Y61" s="348">
        <f>Y4</f>
        <v>0</v>
      </c>
      <c r="AC61" s="348">
        <f>AC4</f>
        <v>0</v>
      </c>
      <c r="AD61" s="348">
        <f>AD4</f>
        <v>0</v>
      </c>
      <c r="AG61" s="348">
        <f>AG4</f>
        <v>0</v>
      </c>
      <c r="AH61" s="348">
        <f>AH4</f>
        <v>0</v>
      </c>
      <c r="AL61" s="348">
        <f>AL4</f>
        <v>0</v>
      </c>
      <c r="AM61" s="348">
        <f>AM4</f>
        <v>0</v>
      </c>
      <c r="AR61" s="348">
        <f>AR4</f>
        <v>0</v>
      </c>
      <c r="AV61" s="348">
        <f>AV4</f>
        <v>0</v>
      </c>
      <c r="AW61" s="348">
        <f>AW4</f>
        <v>0</v>
      </c>
      <c r="BA61" s="348">
        <f>BA4</f>
        <v>0</v>
      </c>
      <c r="BB61" s="348">
        <f>BB4</f>
        <v>0</v>
      </c>
      <c r="BF61" s="348">
        <f>BF4</f>
        <v>0</v>
      </c>
      <c r="BG61" s="348">
        <f>BG4</f>
        <v>0</v>
      </c>
      <c r="BP61" s="348">
        <f>BP4</f>
        <v>0</v>
      </c>
      <c r="BQ61" s="348">
        <f>BQ4</f>
        <v>0</v>
      </c>
      <c r="BZ61" s="348">
        <f>BZ4</f>
        <v>0</v>
      </c>
      <c r="CA61" s="348">
        <f>CA4</f>
        <v>0</v>
      </c>
      <c r="CF61" s="348">
        <f>CF4</f>
        <v>0</v>
      </c>
      <c r="CJ61" s="348">
        <f>CJ4</f>
        <v>0</v>
      </c>
      <c r="CK61" s="348">
        <f>CK4</f>
        <v>0</v>
      </c>
      <c r="CO61" s="348">
        <f>CO4</f>
        <v>0</v>
      </c>
      <c r="CP61" s="348">
        <f>CP4</f>
        <v>0</v>
      </c>
      <c r="CT61" s="348">
        <f>CT4</f>
        <v>0</v>
      </c>
      <c r="CU61" s="348">
        <f>CU4</f>
        <v>0</v>
      </c>
      <c r="DD61" s="348">
        <f>DD4</f>
        <v>0</v>
      </c>
      <c r="DE61" s="348">
        <f>DE4</f>
        <v>0</v>
      </c>
    </row>
    <row r="62" spans="3:109" ht="12.75">
      <c r="C62" s="348">
        <f>C5</f>
        <v>0</v>
      </c>
      <c r="D62" s="348">
        <f>D5</f>
        <v>0</v>
      </c>
      <c r="G62" s="348">
        <f>G5</f>
        <v>0</v>
      </c>
      <c r="H62" s="348">
        <f>H5</f>
        <v>0</v>
      </c>
      <c r="K62" s="348">
        <f>K5</f>
        <v>0</v>
      </c>
      <c r="L62" s="348">
        <f>L5</f>
        <v>0</v>
      </c>
      <c r="O62" s="348">
        <f>O5</f>
        <v>0</v>
      </c>
      <c r="P62" s="348">
        <f>P5</f>
        <v>0</v>
      </c>
      <c r="T62" s="348">
        <f>T5</f>
        <v>0</v>
      </c>
      <c r="U62" s="348">
        <f>U5</f>
        <v>0</v>
      </c>
      <c r="X62" s="348">
        <f>X5</f>
        <v>0</v>
      </c>
      <c r="Y62" s="348">
        <f>Y5</f>
        <v>0</v>
      </c>
      <c r="AC62" s="348">
        <f>AC5</f>
        <v>0</v>
      </c>
      <c r="AD62" s="348">
        <f>AD5</f>
        <v>0</v>
      </c>
      <c r="AG62" s="348">
        <f>AG5</f>
        <v>0</v>
      </c>
      <c r="AH62" s="348">
        <f>AH5</f>
        <v>0</v>
      </c>
      <c r="AL62" s="348">
        <f>AL5</f>
        <v>0</v>
      </c>
      <c r="AM62" s="348">
        <f>AM5</f>
        <v>0</v>
      </c>
      <c r="AR62" s="348">
        <f>AR5</f>
        <v>0</v>
      </c>
      <c r="AV62" s="348">
        <f>AV5</f>
        <v>0</v>
      </c>
      <c r="AW62" s="348">
        <f>AW5</f>
        <v>0</v>
      </c>
      <c r="BA62" s="348">
        <f>BA5</f>
        <v>0</v>
      </c>
      <c r="BB62" s="348">
        <f>BB5</f>
        <v>0</v>
      </c>
      <c r="BF62" s="348">
        <f>BF5</f>
        <v>0</v>
      </c>
      <c r="BG62" s="348">
        <f>BG5</f>
        <v>0</v>
      </c>
      <c r="BP62" s="348">
        <f>BP5</f>
        <v>0</v>
      </c>
      <c r="BQ62" s="348">
        <f>BQ5</f>
        <v>0</v>
      </c>
      <c r="BZ62" s="348">
        <f>BZ5</f>
        <v>0</v>
      </c>
      <c r="CA62" s="348">
        <f>CA5</f>
        <v>0</v>
      </c>
      <c r="CF62" s="348">
        <f>CF5</f>
        <v>0</v>
      </c>
      <c r="CJ62" s="348">
        <f>CJ5</f>
        <v>0</v>
      </c>
      <c r="CK62" s="348">
        <f>CK5</f>
        <v>0</v>
      </c>
      <c r="CO62" s="348">
        <f>CO5</f>
        <v>0</v>
      </c>
      <c r="CP62" s="348">
        <f>CP5</f>
        <v>0</v>
      </c>
      <c r="CT62" s="348">
        <f>CT5</f>
        <v>0</v>
      </c>
      <c r="CU62" s="348">
        <f>CU5</f>
        <v>0</v>
      </c>
      <c r="DD62" s="348">
        <f>DD5</f>
        <v>0</v>
      </c>
      <c r="DE62" s="348">
        <f>DE5</f>
        <v>0</v>
      </c>
    </row>
    <row r="63" spans="3:109" ht="12.75">
      <c r="C63" s="348">
        <f>C7</f>
        <v>0</v>
      </c>
      <c r="D63" s="348">
        <f>D7</f>
        <v>0</v>
      </c>
      <c r="G63" s="348">
        <f>G7</f>
        <v>0</v>
      </c>
      <c r="H63" s="348">
        <f>H7</f>
        <v>0</v>
      </c>
      <c r="K63" s="348">
        <f>K7</f>
        <v>0</v>
      </c>
      <c r="L63" s="348">
        <f>L7</f>
        <v>0</v>
      </c>
      <c r="O63" s="348">
        <f>O7</f>
        <v>0</v>
      </c>
      <c r="P63" s="348">
        <f>P7</f>
        <v>0</v>
      </c>
      <c r="T63" s="348">
        <f>T7</f>
        <v>0</v>
      </c>
      <c r="U63" s="348">
        <f>U7</f>
        <v>0</v>
      </c>
      <c r="X63" s="348">
        <f>X7</f>
        <v>0</v>
      </c>
      <c r="Y63" s="348">
        <f>Y7</f>
        <v>0</v>
      </c>
      <c r="AC63" s="348">
        <f>AC7</f>
        <v>0</v>
      </c>
      <c r="AD63" s="348">
        <f>AD7</f>
        <v>0</v>
      </c>
      <c r="AG63" s="348">
        <f>AG7</f>
        <v>0</v>
      </c>
      <c r="AH63" s="348">
        <f>AH7</f>
        <v>0</v>
      </c>
      <c r="AL63" s="348">
        <f>AL7</f>
        <v>0</v>
      </c>
      <c r="AM63" s="348">
        <f>AM7</f>
        <v>0</v>
      </c>
      <c r="AR63" s="348">
        <f>AR7</f>
        <v>0</v>
      </c>
      <c r="AV63" s="348">
        <f>AV7</f>
        <v>0</v>
      </c>
      <c r="AW63" s="348">
        <f>AW7</f>
        <v>0</v>
      </c>
      <c r="BA63" s="348">
        <f>BA7</f>
        <v>0</v>
      </c>
      <c r="BB63" s="348">
        <f>BB7</f>
        <v>0</v>
      </c>
      <c r="BF63" s="348">
        <f>BF7</f>
        <v>0</v>
      </c>
      <c r="BG63" s="348">
        <f>BG7</f>
        <v>0</v>
      </c>
      <c r="BP63" s="348">
        <f>BP7</f>
        <v>0</v>
      </c>
      <c r="BQ63" s="348">
        <f>BQ7</f>
        <v>0</v>
      </c>
      <c r="BZ63" s="348">
        <f>BZ7</f>
        <v>0</v>
      </c>
      <c r="CA63" s="348">
        <f>CA7</f>
        <v>0</v>
      </c>
      <c r="CF63" s="348">
        <f>CF7</f>
        <v>0</v>
      </c>
      <c r="CJ63" s="348">
        <f>CJ7</f>
        <v>0</v>
      </c>
      <c r="CK63" s="348">
        <f>CK7</f>
        <v>0</v>
      </c>
      <c r="CO63" s="348">
        <f>CO7</f>
        <v>0</v>
      </c>
      <c r="CP63" s="348">
        <f>CP7</f>
        <v>0</v>
      </c>
      <c r="CT63" s="348">
        <f>CT7</f>
        <v>0</v>
      </c>
      <c r="CU63" s="348">
        <f>CU7</f>
        <v>0</v>
      </c>
      <c r="DD63" s="348">
        <f>DD7</f>
        <v>0</v>
      </c>
      <c r="DE63" s="348">
        <f>DE7</f>
        <v>0</v>
      </c>
    </row>
    <row r="64" spans="3:109" ht="12.75">
      <c r="C64" s="348">
        <f>C9</f>
        <v>1453.2</v>
      </c>
      <c r="D64" s="348">
        <f>D9</f>
        <v>0.1038</v>
      </c>
      <c r="G64" s="348">
        <f>G9</f>
        <v>0</v>
      </c>
      <c r="H64" s="348">
        <f>H9</f>
        <v>0</v>
      </c>
      <c r="K64" s="348">
        <f>K9</f>
        <v>373.8</v>
      </c>
      <c r="L64" s="348">
        <f>L9</f>
        <v>0.0267</v>
      </c>
      <c r="O64" s="348">
        <f>O9</f>
        <v>0</v>
      </c>
      <c r="P64" s="348">
        <f>P9</f>
        <v>0</v>
      </c>
      <c r="T64" s="348">
        <f>T9</f>
        <v>978.6</v>
      </c>
      <c r="U64" s="348">
        <f>U9</f>
        <v>0.0699</v>
      </c>
      <c r="X64" s="348">
        <f>X9</f>
        <v>0</v>
      </c>
      <c r="Y64" s="348">
        <f>Y9</f>
        <v>0</v>
      </c>
      <c r="AC64" s="348">
        <f>AC9</f>
        <v>4.2</v>
      </c>
      <c r="AD64" s="348">
        <f>AD9</f>
        <v>0.0003</v>
      </c>
      <c r="AG64" s="348">
        <f>AG9</f>
        <v>256.2</v>
      </c>
      <c r="AH64" s="348">
        <f>AH9</f>
        <v>0.0183</v>
      </c>
      <c r="AL64" s="348">
        <f>AL9</f>
        <v>212.16</v>
      </c>
      <c r="AM64" s="348">
        <f>AM9</f>
        <v>0.0221</v>
      </c>
      <c r="AR64" s="348">
        <f>AR9</f>
        <v>0</v>
      </c>
      <c r="AV64" s="348">
        <f>AV9</f>
        <v>3.84</v>
      </c>
      <c r="AW64" s="348">
        <f>AW9</f>
        <v>0.0004</v>
      </c>
      <c r="BA64" s="348">
        <f>BA9</f>
        <v>32.64</v>
      </c>
      <c r="BB64" s="348">
        <f>BB9</f>
        <v>0.0034</v>
      </c>
      <c r="BF64" s="348">
        <f>BF9</f>
        <v>0.006</v>
      </c>
      <c r="BG64" s="348">
        <f>BG9</f>
        <v>0.0004</v>
      </c>
      <c r="BP64" s="348">
        <f>BP9</f>
        <v>0.024</v>
      </c>
      <c r="BQ64" s="348">
        <f>BQ9</f>
        <v>0.0016</v>
      </c>
      <c r="BZ64" s="348">
        <f>BZ9</f>
        <v>356.16</v>
      </c>
      <c r="CA64" s="348">
        <f>CA9</f>
        <v>0.0371</v>
      </c>
      <c r="CF64" s="348">
        <f>CF9</f>
        <v>0</v>
      </c>
      <c r="CJ64" s="348">
        <f>CJ9</f>
        <v>111.36</v>
      </c>
      <c r="CK64" s="348">
        <f>CK9</f>
        <v>0.0116</v>
      </c>
      <c r="CO64" s="348">
        <f>CO9</f>
        <v>0</v>
      </c>
      <c r="CP64" s="348">
        <f>CP9</f>
        <v>0</v>
      </c>
      <c r="CT64" s="348">
        <f>CT9</f>
        <v>0.102</v>
      </c>
      <c r="CU64" s="348">
        <f>CU9</f>
        <v>0.0068</v>
      </c>
      <c r="DD64" s="348">
        <f>DD9</f>
        <v>0.09</v>
      </c>
      <c r="DE64" s="348">
        <f>DE9</f>
        <v>0.006</v>
      </c>
    </row>
    <row r="65" spans="3:109" ht="12.75">
      <c r="C65" s="348">
        <f>C11</f>
        <v>1436.4</v>
      </c>
      <c r="D65" s="348">
        <f>D11</f>
        <v>0.2064</v>
      </c>
      <c r="G65" s="348">
        <f>G11</f>
        <v>0</v>
      </c>
      <c r="H65" s="348">
        <f>H11</f>
        <v>0</v>
      </c>
      <c r="K65" s="348">
        <f>K11</f>
        <v>373.8</v>
      </c>
      <c r="L65" s="348">
        <f>L11</f>
        <v>0.0534</v>
      </c>
      <c r="O65" s="348">
        <f>O11</f>
        <v>0</v>
      </c>
      <c r="P65" s="348">
        <f>P11</f>
        <v>0</v>
      </c>
      <c r="T65" s="348">
        <f>T11</f>
        <v>949.2</v>
      </c>
      <c r="U65" s="348">
        <f>U11</f>
        <v>0.1377</v>
      </c>
      <c r="X65" s="348">
        <f>X11</f>
        <v>0</v>
      </c>
      <c r="Y65" s="348">
        <f>Y11</f>
        <v>0</v>
      </c>
      <c r="AC65" s="348">
        <f>AC11</f>
        <v>0</v>
      </c>
      <c r="AD65" s="348">
        <f>AD11</f>
        <v>0.0003</v>
      </c>
      <c r="AG65" s="348">
        <f>AG11</f>
        <v>252</v>
      </c>
      <c r="AH65" s="348">
        <f>AH11</f>
        <v>0.0363</v>
      </c>
      <c r="AL65" s="348">
        <f>AL11</f>
        <v>206.4</v>
      </c>
      <c r="AM65" s="348">
        <f>AM11</f>
        <v>0.0436</v>
      </c>
      <c r="AR65" s="348">
        <f>AR11</f>
        <v>0</v>
      </c>
      <c r="AV65" s="348">
        <f>AV11</f>
        <v>7.68</v>
      </c>
      <c r="AW65" s="348">
        <f>AW11</f>
        <v>0.0012</v>
      </c>
      <c r="BA65" s="348">
        <f>BA11</f>
        <v>24.96</v>
      </c>
      <c r="BB65" s="348">
        <f>BB11</f>
        <v>0.006</v>
      </c>
      <c r="BF65" s="348">
        <f>BF11</f>
        <v>0.012</v>
      </c>
      <c r="BG65" s="348">
        <f>BG11</f>
        <v>0.0012</v>
      </c>
      <c r="BP65" s="348">
        <f>BP11</f>
        <v>0.03</v>
      </c>
      <c r="BQ65" s="348">
        <f>BQ11</f>
        <v>0.0036</v>
      </c>
      <c r="BZ65" s="348">
        <f>BZ11</f>
        <v>355.2</v>
      </c>
      <c r="CA65" s="348">
        <f>CA11</f>
        <v>0.0741</v>
      </c>
      <c r="CF65" s="348">
        <f>CF11</f>
        <v>0</v>
      </c>
      <c r="CJ65" s="348">
        <f>CJ11</f>
        <v>113.28</v>
      </c>
      <c r="CK65" s="348">
        <f>CK11</f>
        <v>0.0234</v>
      </c>
      <c r="CO65" s="348">
        <f>CO11</f>
        <v>0</v>
      </c>
      <c r="CP65" s="348">
        <f>CP11</f>
        <v>0</v>
      </c>
      <c r="CT65" s="348">
        <f>CT11</f>
        <v>0.096</v>
      </c>
      <c r="CU65" s="348">
        <f>CU11</f>
        <v>0.0132</v>
      </c>
      <c r="DD65" s="348">
        <f>DD11</f>
        <v>0.084</v>
      </c>
      <c r="DE65" s="348">
        <f>DE11</f>
        <v>0.0116</v>
      </c>
    </row>
    <row r="66" spans="3:109" ht="12.75">
      <c r="C66" s="348">
        <f>C13</f>
        <v>1495.2</v>
      </c>
      <c r="D66" s="348">
        <f>D13</f>
        <v>0.3132</v>
      </c>
      <c r="G66" s="348">
        <f>G13</f>
        <v>0</v>
      </c>
      <c r="H66" s="348">
        <f>H13</f>
        <v>0</v>
      </c>
      <c r="K66" s="348">
        <f>K13</f>
        <v>369.6</v>
      </c>
      <c r="L66" s="348">
        <f>L13</f>
        <v>0.0798</v>
      </c>
      <c r="O66" s="348">
        <f>O13</f>
        <v>0</v>
      </c>
      <c r="P66" s="348">
        <f>P13</f>
        <v>0</v>
      </c>
      <c r="T66" s="348">
        <f>T13</f>
        <v>974.4</v>
      </c>
      <c r="U66" s="348">
        <f>U13</f>
        <v>0.2073</v>
      </c>
      <c r="X66" s="348">
        <f>X13</f>
        <v>0</v>
      </c>
      <c r="Y66" s="348">
        <f>Y13</f>
        <v>0</v>
      </c>
      <c r="AC66" s="348">
        <f>AC13</f>
        <v>0</v>
      </c>
      <c r="AD66" s="348">
        <f>AD13</f>
        <v>0.0003</v>
      </c>
      <c r="AG66" s="348">
        <f>AG13</f>
        <v>256.2</v>
      </c>
      <c r="AH66" s="348">
        <f>AH13</f>
        <v>0.0546</v>
      </c>
      <c r="AL66" s="348">
        <f>AL13</f>
        <v>205.44</v>
      </c>
      <c r="AM66" s="348">
        <f>AM13</f>
        <v>0.065</v>
      </c>
      <c r="AR66" s="348">
        <f>AR13</f>
        <v>0</v>
      </c>
      <c r="AV66" s="348">
        <f>AV13</f>
        <v>4.8</v>
      </c>
      <c r="AW66" s="348">
        <f>AW13</f>
        <v>0.0017</v>
      </c>
      <c r="BA66" s="348">
        <f>BA13</f>
        <v>29.76</v>
      </c>
      <c r="BB66" s="348">
        <f>BB13</f>
        <v>0.0091</v>
      </c>
      <c r="BF66" s="348">
        <f>BF13</f>
        <v>0.006</v>
      </c>
      <c r="BG66" s="348">
        <f>BG13</f>
        <v>0.0016</v>
      </c>
      <c r="BP66" s="348">
        <f>BP13</f>
        <v>0.024</v>
      </c>
      <c r="BQ66" s="348">
        <f>BQ13</f>
        <v>0.0052</v>
      </c>
      <c r="BZ66" s="348">
        <f>BZ13</f>
        <v>374.4</v>
      </c>
      <c r="CA66" s="348">
        <f>CA13</f>
        <v>0.1131</v>
      </c>
      <c r="CF66" s="348">
        <f>CF13</f>
        <v>0</v>
      </c>
      <c r="CJ66" s="348">
        <f>CJ13</f>
        <v>112.32</v>
      </c>
      <c r="CK66" s="348">
        <f>CK13</f>
        <v>0.0351</v>
      </c>
      <c r="CO66" s="348">
        <f>CO13</f>
        <v>0</v>
      </c>
      <c r="CP66" s="348">
        <f>CP13</f>
        <v>0</v>
      </c>
      <c r="CT66" s="348">
        <f>CT13</f>
        <v>0.102</v>
      </c>
      <c r="CU66" s="348">
        <f>CU13</f>
        <v>0.02</v>
      </c>
      <c r="DD66" s="348">
        <f>DD13</f>
        <v>0.09</v>
      </c>
      <c r="DE66" s="348">
        <f>DE13</f>
        <v>0.0176</v>
      </c>
    </row>
    <row r="67" spans="3:109" ht="12.75">
      <c r="C67" s="348">
        <f>C15</f>
        <v>1764</v>
      </c>
      <c r="D67" s="348">
        <f>D15</f>
        <v>0.4392</v>
      </c>
      <c r="G67" s="348">
        <f>G15</f>
        <v>0</v>
      </c>
      <c r="H67" s="348">
        <f>H15</f>
        <v>0</v>
      </c>
      <c r="K67" s="348">
        <f>K15</f>
        <v>386.4</v>
      </c>
      <c r="L67" s="348">
        <f>L15</f>
        <v>0.1074</v>
      </c>
      <c r="O67" s="348">
        <f>O15</f>
        <v>0</v>
      </c>
      <c r="P67" s="348">
        <f>P15</f>
        <v>0</v>
      </c>
      <c r="T67" s="348">
        <f>T15</f>
        <v>1230.6</v>
      </c>
      <c r="U67" s="348">
        <f>U15</f>
        <v>0.2952</v>
      </c>
      <c r="X67" s="348">
        <f>X15</f>
        <v>0</v>
      </c>
      <c r="Y67" s="348">
        <f>Y15</f>
        <v>0</v>
      </c>
      <c r="AC67" s="348">
        <f>AC15</f>
        <v>12.6</v>
      </c>
      <c r="AD67" s="348">
        <f>AD15</f>
        <v>0.0012</v>
      </c>
      <c r="AG67" s="348">
        <f>AG15</f>
        <v>184.8</v>
      </c>
      <c r="AH67" s="348">
        <f>AH15</f>
        <v>0.0678</v>
      </c>
      <c r="AL67" s="348">
        <f>AL15</f>
        <v>220.8</v>
      </c>
      <c r="AM67" s="348">
        <f>AM15</f>
        <v>0.088</v>
      </c>
      <c r="AR67" s="348">
        <f>AR15</f>
        <v>0</v>
      </c>
      <c r="AV67" s="348">
        <f>AV15</f>
        <v>4.8</v>
      </c>
      <c r="AW67" s="348">
        <f>AW15</f>
        <v>0.0022</v>
      </c>
      <c r="BA67" s="348">
        <f>BA15</f>
        <v>28.8</v>
      </c>
      <c r="BB67" s="348">
        <f>BB15</f>
        <v>0.0121</v>
      </c>
      <c r="BF67" s="348">
        <f>BF15</f>
        <v>0.012</v>
      </c>
      <c r="BG67" s="348">
        <f>BG15</f>
        <v>0.0024</v>
      </c>
      <c r="BP67" s="348">
        <f>BP15</f>
        <v>0.024</v>
      </c>
      <c r="BQ67" s="348">
        <f>BQ15</f>
        <v>0.0068</v>
      </c>
      <c r="BZ67" s="348">
        <f>BZ15</f>
        <v>420.48</v>
      </c>
      <c r="CA67" s="348">
        <f>CA15</f>
        <v>0.1569</v>
      </c>
      <c r="CF67" s="348">
        <f>CF15</f>
        <v>0</v>
      </c>
      <c r="CJ67" s="348">
        <f>CJ15</f>
        <v>109.44</v>
      </c>
      <c r="CK67" s="348">
        <f>CK15</f>
        <v>0.0465</v>
      </c>
      <c r="CO67" s="348">
        <f>CO15</f>
        <v>0</v>
      </c>
      <c r="CP67" s="348">
        <f>CP15</f>
        <v>0</v>
      </c>
      <c r="CT67" s="348">
        <f>CT15</f>
        <v>0.096</v>
      </c>
      <c r="CU67" s="348">
        <f>CU15</f>
        <v>0.0264</v>
      </c>
      <c r="DD67" s="348">
        <f>DD15</f>
        <v>0.09</v>
      </c>
      <c r="DE67" s="348">
        <f>DE15</f>
        <v>0.0236</v>
      </c>
    </row>
    <row r="68" spans="3:109" ht="12.75">
      <c r="C68" s="348">
        <f>C17</f>
        <v>1940.4</v>
      </c>
      <c r="D68" s="348">
        <f>D17</f>
        <v>0.5778</v>
      </c>
      <c r="G68" s="348">
        <f>G17</f>
        <v>0</v>
      </c>
      <c r="H68" s="348">
        <f>H17</f>
        <v>0</v>
      </c>
      <c r="K68" s="348">
        <f>K17</f>
        <v>386.4</v>
      </c>
      <c r="L68" s="348">
        <f>L17</f>
        <v>0.135</v>
      </c>
      <c r="O68" s="348">
        <f>O17</f>
        <v>0</v>
      </c>
      <c r="P68" s="348">
        <f>P17</f>
        <v>0</v>
      </c>
      <c r="T68" s="348">
        <f>T17</f>
        <v>1461.6</v>
      </c>
      <c r="U68" s="348">
        <f>U17</f>
        <v>0.3996</v>
      </c>
      <c r="X68" s="348">
        <f>X17</f>
        <v>0</v>
      </c>
      <c r="Y68" s="348">
        <f>Y17</f>
        <v>0</v>
      </c>
      <c r="AC68" s="348">
        <f>AC17</f>
        <v>67.2</v>
      </c>
      <c r="AD68" s="348">
        <f>AD17</f>
        <v>0.006</v>
      </c>
      <c r="AG68" s="348">
        <f>AG17</f>
        <v>33.6</v>
      </c>
      <c r="AH68" s="348">
        <f>AH17</f>
        <v>0.0702</v>
      </c>
      <c r="AL68" s="348">
        <f>AL17</f>
        <v>205.44</v>
      </c>
      <c r="AM68" s="348">
        <f>AM17</f>
        <v>0.1094</v>
      </c>
      <c r="AR68" s="348">
        <f>AR17</f>
        <v>0</v>
      </c>
      <c r="AV68" s="348">
        <f>AV17</f>
        <v>8.64</v>
      </c>
      <c r="AW68" s="348">
        <f>AW17</f>
        <v>0.0031</v>
      </c>
      <c r="BA68" s="348">
        <f>BA17</f>
        <v>22.08</v>
      </c>
      <c r="BB68" s="348">
        <f>BB17</f>
        <v>0.0144</v>
      </c>
      <c r="BF68" s="348">
        <f>BF17</f>
        <v>0.012</v>
      </c>
      <c r="BG68" s="348">
        <f>BG17</f>
        <v>0.0032</v>
      </c>
      <c r="BP68" s="348">
        <f>BP17</f>
        <v>0.024</v>
      </c>
      <c r="BQ68" s="348">
        <f>BQ17</f>
        <v>0.0084</v>
      </c>
      <c r="BZ68" s="348">
        <f>BZ17</f>
        <v>401.28</v>
      </c>
      <c r="CA68" s="348">
        <f>CA17</f>
        <v>0.1987</v>
      </c>
      <c r="CF68" s="348">
        <f>CF17</f>
        <v>0</v>
      </c>
      <c r="CJ68" s="348">
        <f>CJ17</f>
        <v>105.6</v>
      </c>
      <c r="CK68" s="348">
        <f>CK17</f>
        <v>0.0575</v>
      </c>
      <c r="CO68" s="348">
        <f>CO17</f>
        <v>0</v>
      </c>
      <c r="CP68" s="348">
        <f>CP17</f>
        <v>0</v>
      </c>
      <c r="CT68" s="348">
        <f>CT17</f>
        <v>0.096</v>
      </c>
      <c r="CU68" s="348">
        <f>CU17</f>
        <v>0.0328</v>
      </c>
      <c r="DD68" s="348">
        <f>DD17</f>
        <v>0.084</v>
      </c>
      <c r="DE68" s="348">
        <f>DE17</f>
        <v>0.0292</v>
      </c>
    </row>
    <row r="69" spans="3:109" ht="12.75">
      <c r="C69" s="348">
        <f>C19</f>
        <v>2133.6</v>
      </c>
      <c r="D69" s="348">
        <f>D19</f>
        <v>0.7302</v>
      </c>
      <c r="G69" s="348">
        <f>G19</f>
        <v>0</v>
      </c>
      <c r="H69" s="348">
        <f>H19</f>
        <v>0</v>
      </c>
      <c r="K69" s="348">
        <f>K19</f>
        <v>420</v>
      </c>
      <c r="L69" s="348">
        <f>L19</f>
        <v>0.165</v>
      </c>
      <c r="O69" s="348">
        <f>O19</f>
        <v>0</v>
      </c>
      <c r="P69" s="348">
        <f>P19</f>
        <v>0</v>
      </c>
      <c r="T69" s="348">
        <f>T19</f>
        <v>1449</v>
      </c>
      <c r="U69" s="348">
        <f>U19</f>
        <v>0.5031</v>
      </c>
      <c r="X69" s="348">
        <f>X19</f>
        <v>0</v>
      </c>
      <c r="Y69" s="348">
        <f>Y19</f>
        <v>0</v>
      </c>
      <c r="AC69" s="348">
        <f>AC19</f>
        <v>92.4</v>
      </c>
      <c r="AD69" s="348">
        <f>AD19</f>
        <v>0.0126</v>
      </c>
      <c r="AG69" s="348">
        <f>AG19</f>
        <v>4.2</v>
      </c>
      <c r="AH69" s="348">
        <f>AH19</f>
        <v>0.0705</v>
      </c>
      <c r="AL69" s="348">
        <f>AL19</f>
        <v>273.6</v>
      </c>
      <c r="AM69" s="348">
        <f>AM19</f>
        <v>0.1379</v>
      </c>
      <c r="AR69" s="348">
        <f>AR19</f>
        <v>0</v>
      </c>
      <c r="AV69" s="348">
        <f>AV19</f>
        <v>30.72</v>
      </c>
      <c r="AW69" s="348">
        <f>AW19</f>
        <v>0.0063</v>
      </c>
      <c r="BA69" s="348">
        <f>BA19</f>
        <v>13.44</v>
      </c>
      <c r="BB69" s="348">
        <f>BB19</f>
        <v>0.0158</v>
      </c>
      <c r="BF69" s="348">
        <f>BF19</f>
        <v>0.006</v>
      </c>
      <c r="BG69" s="348">
        <f>BG19</f>
        <v>0.0036</v>
      </c>
      <c r="BP69" s="348">
        <f>BP19</f>
        <v>0.03</v>
      </c>
      <c r="BQ69" s="348">
        <f>BQ19</f>
        <v>0.0104</v>
      </c>
      <c r="BZ69" s="348">
        <f>BZ19</f>
        <v>447.36</v>
      </c>
      <c r="CA69" s="348">
        <f>CA19</f>
        <v>0.2453</v>
      </c>
      <c r="CF69" s="348">
        <f>CF19</f>
        <v>0</v>
      </c>
      <c r="CJ69" s="348">
        <f>CJ19</f>
        <v>106.56</v>
      </c>
      <c r="CK69" s="348">
        <f>CK19</f>
        <v>0.0686</v>
      </c>
      <c r="CO69" s="348">
        <f>CO19</f>
        <v>0</v>
      </c>
      <c r="CP69" s="348">
        <f>CP19</f>
        <v>0</v>
      </c>
      <c r="CT69" s="348">
        <f>CT19</f>
        <v>0.102</v>
      </c>
      <c r="CU69" s="348">
        <f>CU19</f>
        <v>0.0396</v>
      </c>
      <c r="DD69" s="348">
        <f>DD19</f>
        <v>0.084</v>
      </c>
      <c r="DE69" s="348">
        <f>DE19</f>
        <v>0.0348</v>
      </c>
    </row>
    <row r="70" spans="3:109" ht="12.75">
      <c r="C70" s="348">
        <f>C21</f>
        <v>2335.2</v>
      </c>
      <c r="D70" s="348">
        <f>D21</f>
        <v>0.897</v>
      </c>
      <c r="G70" s="348">
        <f>G21</f>
        <v>0</v>
      </c>
      <c r="H70" s="348">
        <f>H21</f>
        <v>0</v>
      </c>
      <c r="K70" s="348">
        <f>K21</f>
        <v>478.8</v>
      </c>
      <c r="L70" s="348">
        <f>L21</f>
        <v>0.1992</v>
      </c>
      <c r="O70" s="348">
        <f>O21</f>
        <v>0</v>
      </c>
      <c r="P70" s="348">
        <f>P21</f>
        <v>0</v>
      </c>
      <c r="T70" s="348">
        <f>T21</f>
        <v>1612.8</v>
      </c>
      <c r="U70" s="348">
        <f>U21</f>
        <v>0.6183</v>
      </c>
      <c r="X70" s="348">
        <f>X21</f>
        <v>0</v>
      </c>
      <c r="Y70" s="348">
        <f>Y21</f>
        <v>0</v>
      </c>
      <c r="AC70" s="348">
        <f>AC21</f>
        <v>121.8</v>
      </c>
      <c r="AD70" s="348">
        <f>AD21</f>
        <v>0.0213</v>
      </c>
      <c r="AG70" s="348">
        <f>AG21</f>
        <v>0</v>
      </c>
      <c r="AH70" s="348">
        <f>AH21</f>
        <v>0.0705</v>
      </c>
      <c r="AL70" s="348">
        <f>AL21</f>
        <v>319.68</v>
      </c>
      <c r="AM70" s="348">
        <f>AM21</f>
        <v>0.1712</v>
      </c>
      <c r="AR70" s="348">
        <f>AR21</f>
        <v>0</v>
      </c>
      <c r="AV70" s="348">
        <f>AV21</f>
        <v>70.08</v>
      </c>
      <c r="AW70" s="348">
        <f>AW21</f>
        <v>0.0136</v>
      </c>
      <c r="BA70" s="348">
        <f>BA21</f>
        <v>0.96</v>
      </c>
      <c r="BB70" s="348">
        <f>BB21</f>
        <v>0.0159</v>
      </c>
      <c r="BF70" s="348">
        <f>BF21</f>
        <v>0.012</v>
      </c>
      <c r="BG70" s="348">
        <f>BG21</f>
        <v>0.0044</v>
      </c>
      <c r="BP70" s="348">
        <f>BP21</f>
        <v>0.024</v>
      </c>
      <c r="BQ70" s="348">
        <f>BQ21</f>
        <v>0.012</v>
      </c>
      <c r="BZ70" s="348">
        <f>BZ21</f>
        <v>466.56</v>
      </c>
      <c r="CA70" s="348">
        <f>CA21</f>
        <v>0.2939</v>
      </c>
      <c r="CF70" s="348">
        <f>CF21</f>
        <v>0</v>
      </c>
      <c r="CJ70" s="348">
        <f>CJ21</f>
        <v>131.52</v>
      </c>
      <c r="CK70" s="348">
        <f>CK21</f>
        <v>0.0823</v>
      </c>
      <c r="CO70" s="348">
        <f>CO21</f>
        <v>0</v>
      </c>
      <c r="CP70" s="348">
        <f>CP21</f>
        <v>0</v>
      </c>
      <c r="CT70" s="348">
        <f>CT21</f>
        <v>0.096</v>
      </c>
      <c r="CU70" s="348">
        <f>CU21</f>
        <v>0.046</v>
      </c>
      <c r="DD70" s="348">
        <f>DD21</f>
        <v>0.09</v>
      </c>
      <c r="DE70" s="348">
        <f>DE21</f>
        <v>0.0408</v>
      </c>
    </row>
    <row r="71" spans="3:109" ht="12.75">
      <c r="C71" s="348">
        <f>C23</f>
        <v>2427.6</v>
      </c>
      <c r="D71" s="348">
        <f>D23</f>
        <v>1.0704</v>
      </c>
      <c r="G71" s="348">
        <f>G23</f>
        <v>0</v>
      </c>
      <c r="H71" s="348">
        <f>H23</f>
        <v>0</v>
      </c>
      <c r="K71" s="348">
        <f>K23</f>
        <v>491.4</v>
      </c>
      <c r="L71" s="348">
        <f>L23</f>
        <v>0.2343</v>
      </c>
      <c r="O71" s="348">
        <f>O23</f>
        <v>0</v>
      </c>
      <c r="P71" s="348">
        <f>P23</f>
        <v>0</v>
      </c>
      <c r="T71" s="348">
        <f>T23</f>
        <v>1726.2</v>
      </c>
      <c r="U71" s="348">
        <f>U23</f>
        <v>0.7416</v>
      </c>
      <c r="X71" s="348">
        <f>X23</f>
        <v>0</v>
      </c>
      <c r="Y71" s="348">
        <f>Y23</f>
        <v>0</v>
      </c>
      <c r="AC71" s="348">
        <f>AC23</f>
        <v>142.8</v>
      </c>
      <c r="AD71" s="348">
        <f>AD23</f>
        <v>0.0315</v>
      </c>
      <c r="AG71" s="348">
        <f>AG23</f>
        <v>0</v>
      </c>
      <c r="AH71" s="348">
        <f>AH23</f>
        <v>0.0705</v>
      </c>
      <c r="AL71" s="348">
        <f>AL23</f>
        <v>349.44</v>
      </c>
      <c r="AM71" s="348">
        <f>AM23</f>
        <v>0.2076</v>
      </c>
      <c r="AR71" s="348">
        <f>AR23</f>
        <v>0</v>
      </c>
      <c r="AV71" s="348">
        <f>AV23</f>
        <v>79.68</v>
      </c>
      <c r="AW71" s="348">
        <f>AW23</f>
        <v>0.0219</v>
      </c>
      <c r="BA71" s="348">
        <f>BA23</f>
        <v>0</v>
      </c>
      <c r="BB71" s="348">
        <f>BB23</f>
        <v>0.0159</v>
      </c>
      <c r="BF71" s="348">
        <f>BF23</f>
        <v>0.006</v>
      </c>
      <c r="BG71" s="348">
        <f>BG23</f>
        <v>0.0048</v>
      </c>
      <c r="BP71" s="348">
        <f>BP23</f>
        <v>0.024</v>
      </c>
      <c r="BQ71" s="348">
        <f>BQ23</f>
        <v>0.0136</v>
      </c>
      <c r="BZ71" s="348">
        <f>BZ23</f>
        <v>466.56</v>
      </c>
      <c r="CA71" s="348">
        <f>CA23</f>
        <v>0.3425</v>
      </c>
      <c r="CF71" s="348">
        <f>CF23</f>
        <v>0</v>
      </c>
      <c r="CJ71" s="348">
        <f>CJ23</f>
        <v>120.96</v>
      </c>
      <c r="CK71" s="348">
        <f>CK23</f>
        <v>0.0949</v>
      </c>
      <c r="CO71" s="348">
        <f>CO23</f>
        <v>0</v>
      </c>
      <c r="CP71" s="348">
        <f>CP23</f>
        <v>0</v>
      </c>
      <c r="CT71" s="348">
        <f>CT23</f>
        <v>0.096</v>
      </c>
      <c r="CU71" s="348">
        <f>CU23</f>
        <v>0.0524</v>
      </c>
      <c r="DD71" s="348">
        <f>DD23</f>
        <v>0.084</v>
      </c>
      <c r="DE71" s="348">
        <f>DE23</f>
        <v>0.0464</v>
      </c>
    </row>
    <row r="72" spans="3:109" ht="12.75">
      <c r="C72" s="348">
        <f>C25</f>
        <v>2444.4</v>
      </c>
      <c r="D72" s="348">
        <f>D25</f>
        <v>1.245</v>
      </c>
      <c r="G72" s="348">
        <f>G25</f>
        <v>0</v>
      </c>
      <c r="H72" s="348">
        <f>H25</f>
        <v>0</v>
      </c>
      <c r="K72" s="348">
        <f>K25</f>
        <v>525</v>
      </c>
      <c r="L72" s="348">
        <f>L25</f>
        <v>0.2718</v>
      </c>
      <c r="O72" s="348">
        <f>O25</f>
        <v>0</v>
      </c>
      <c r="P72" s="348">
        <f>P25</f>
        <v>0</v>
      </c>
      <c r="T72" s="348">
        <f>T25</f>
        <v>1759.8</v>
      </c>
      <c r="U72" s="348">
        <f>U25</f>
        <v>0.8673</v>
      </c>
      <c r="X72" s="348">
        <f>X25</f>
        <v>0</v>
      </c>
      <c r="Y72" s="348">
        <f>Y25</f>
        <v>0</v>
      </c>
      <c r="AC72" s="348">
        <f>AC25</f>
        <v>159.6</v>
      </c>
      <c r="AD72" s="348">
        <f>AD25</f>
        <v>0.0429</v>
      </c>
      <c r="AG72" s="348">
        <f>AG25</f>
        <v>0</v>
      </c>
      <c r="AH72" s="348">
        <f>AH25</f>
        <v>0.0705</v>
      </c>
      <c r="AL72" s="348">
        <f>AL25</f>
        <v>288</v>
      </c>
      <c r="AM72" s="348">
        <f>AM25</f>
        <v>0.2376</v>
      </c>
      <c r="AR72" s="348">
        <f>AR25</f>
        <v>0</v>
      </c>
      <c r="AV72" s="348">
        <f>AV25</f>
        <v>48</v>
      </c>
      <c r="AW72" s="348">
        <f>AW25</f>
        <v>0.0269</v>
      </c>
      <c r="BA72" s="348">
        <f>BA25</f>
        <v>0.96</v>
      </c>
      <c r="BB72" s="348">
        <f>BB25</f>
        <v>0.016</v>
      </c>
      <c r="BF72" s="348">
        <f>BF25</f>
        <v>0.012</v>
      </c>
      <c r="BG72" s="348">
        <f>BG25</f>
        <v>0.0056</v>
      </c>
      <c r="BP72" s="348">
        <f>BP25</f>
        <v>0.024</v>
      </c>
      <c r="BQ72" s="348">
        <f>BQ25</f>
        <v>0.0152</v>
      </c>
      <c r="BZ72" s="348">
        <f>BZ25</f>
        <v>456.96</v>
      </c>
      <c r="CA72" s="348">
        <f>CA25</f>
        <v>0.3901</v>
      </c>
      <c r="CF72" s="348">
        <f>CF25</f>
        <v>0</v>
      </c>
      <c r="CJ72" s="348">
        <f>CJ25</f>
        <v>128.64</v>
      </c>
      <c r="CK72" s="348">
        <f>CK25</f>
        <v>0.1083</v>
      </c>
      <c r="CO72" s="348">
        <f>CO25</f>
        <v>0</v>
      </c>
      <c r="CP72" s="348">
        <f>CP25</f>
        <v>0</v>
      </c>
      <c r="CT72" s="348">
        <f>CT25</f>
        <v>0.102</v>
      </c>
      <c r="CU72" s="348">
        <f>CU25</f>
        <v>0.0592</v>
      </c>
      <c r="DD72" s="348">
        <f>DD25</f>
        <v>0.084</v>
      </c>
      <c r="DE72" s="348">
        <f>DE25</f>
        <v>0.052</v>
      </c>
    </row>
    <row r="73" spans="3:109" ht="12.75">
      <c r="C73" s="348">
        <f>C27</f>
        <v>2461.2</v>
      </c>
      <c r="D73" s="348">
        <f>D27</f>
        <v>1.4208</v>
      </c>
      <c r="G73" s="348">
        <f>G27</f>
        <v>0</v>
      </c>
      <c r="H73" s="348">
        <f>H27</f>
        <v>0</v>
      </c>
      <c r="K73" s="348">
        <f>K27</f>
        <v>508.2</v>
      </c>
      <c r="L73" s="348">
        <f>L27</f>
        <v>0.3081</v>
      </c>
      <c r="O73" s="348">
        <f>O27</f>
        <v>0</v>
      </c>
      <c r="P73" s="348">
        <f>P27</f>
        <v>0</v>
      </c>
      <c r="T73" s="348">
        <f>T27</f>
        <v>1919.4</v>
      </c>
      <c r="U73" s="348">
        <f>U27</f>
        <v>1.0044</v>
      </c>
      <c r="X73" s="348">
        <f>X27</f>
        <v>0</v>
      </c>
      <c r="Y73" s="348">
        <f>Y27</f>
        <v>0</v>
      </c>
      <c r="AC73" s="348">
        <f>AC27</f>
        <v>218.4</v>
      </c>
      <c r="AD73" s="348">
        <f>AD27</f>
        <v>0.0585</v>
      </c>
      <c r="AG73" s="348">
        <f>AG27</f>
        <v>0</v>
      </c>
      <c r="AH73" s="348">
        <f>AH27</f>
        <v>0.0705</v>
      </c>
      <c r="AL73" s="348">
        <f>AL27</f>
        <v>336</v>
      </c>
      <c r="AM73" s="348">
        <f>AM27</f>
        <v>0.2726</v>
      </c>
      <c r="AR73" s="348">
        <f>AR27</f>
        <v>0</v>
      </c>
      <c r="AV73" s="348">
        <f>AV27</f>
        <v>58.56</v>
      </c>
      <c r="AW73" s="348">
        <f>AW27</f>
        <v>0.033</v>
      </c>
      <c r="BA73" s="348">
        <f>BA27</f>
        <v>0.96</v>
      </c>
      <c r="BB73" s="348">
        <f>BB27</f>
        <v>0.0161</v>
      </c>
      <c r="BF73" s="348">
        <f>BF27</f>
        <v>0.006</v>
      </c>
      <c r="BG73" s="348">
        <f>BG27</f>
        <v>0.006</v>
      </c>
      <c r="BP73" s="348">
        <f>BP27</f>
        <v>0.03</v>
      </c>
      <c r="BQ73" s="348">
        <f>BQ27</f>
        <v>0.0172</v>
      </c>
      <c r="BZ73" s="348">
        <f>BZ27</f>
        <v>454.08</v>
      </c>
      <c r="CA73" s="348">
        <f>CA27</f>
        <v>0.4374</v>
      </c>
      <c r="CF73" s="348">
        <f>CF27</f>
        <v>0</v>
      </c>
      <c r="CJ73" s="348">
        <f>CJ27</f>
        <v>123.84</v>
      </c>
      <c r="CK73" s="348">
        <f>CK27</f>
        <v>0.1212</v>
      </c>
      <c r="CO73" s="348">
        <f>CO27</f>
        <v>0</v>
      </c>
      <c r="CP73" s="348">
        <f>CP27</f>
        <v>0</v>
      </c>
      <c r="CT73" s="348">
        <f>CT27</f>
        <v>0.096</v>
      </c>
      <c r="CU73" s="348">
        <f>CU27</f>
        <v>0.0656</v>
      </c>
      <c r="DD73" s="348">
        <f>DD27</f>
        <v>0.084</v>
      </c>
      <c r="DE73" s="348">
        <f>DE27</f>
        <v>0.0576</v>
      </c>
    </row>
    <row r="74" spans="3:109" ht="12.75">
      <c r="C74" s="348">
        <f>C29</f>
        <v>2406.6</v>
      </c>
      <c r="D74" s="348">
        <f>D29</f>
        <v>1.5927</v>
      </c>
      <c r="G74" s="348">
        <f>G29</f>
        <v>0</v>
      </c>
      <c r="H74" s="348">
        <f>H29</f>
        <v>0</v>
      </c>
      <c r="K74" s="348">
        <f>K29</f>
        <v>491.4</v>
      </c>
      <c r="L74" s="348">
        <f>L29</f>
        <v>0.3432</v>
      </c>
      <c r="O74" s="348">
        <f>O29</f>
        <v>0</v>
      </c>
      <c r="P74" s="348">
        <f>P29</f>
        <v>0</v>
      </c>
      <c r="T74" s="348">
        <f>T29</f>
        <v>1873.2</v>
      </c>
      <c r="U74" s="348">
        <f>U29</f>
        <v>1.1382</v>
      </c>
      <c r="X74" s="348">
        <f>X29</f>
        <v>0</v>
      </c>
      <c r="Y74" s="348">
        <f>Y29</f>
        <v>0</v>
      </c>
      <c r="AC74" s="348">
        <f>AC29</f>
        <v>151.2</v>
      </c>
      <c r="AD74" s="348">
        <f>AD29</f>
        <v>0.0693</v>
      </c>
      <c r="AG74" s="348">
        <f>AG29</f>
        <v>0</v>
      </c>
      <c r="AH74" s="348">
        <f>AH29</f>
        <v>0.0705</v>
      </c>
      <c r="AL74" s="348">
        <f>AL29</f>
        <v>297.6</v>
      </c>
      <c r="AM74" s="348">
        <f>AM29</f>
        <v>0.3036</v>
      </c>
      <c r="AR74" s="348">
        <f>AR29</f>
        <v>0</v>
      </c>
      <c r="AV74" s="348">
        <f>AV29</f>
        <v>71.04</v>
      </c>
      <c r="AW74" s="348">
        <f>AW29</f>
        <v>0.0404</v>
      </c>
      <c r="BA74" s="348">
        <f>BA29</f>
        <v>0</v>
      </c>
      <c r="BB74" s="348">
        <f>BB29</f>
        <v>0.0161</v>
      </c>
      <c r="BF74" s="348">
        <f>BF29</f>
        <v>0.012</v>
      </c>
      <c r="BG74" s="348">
        <f>BG29</f>
        <v>0.0068</v>
      </c>
      <c r="BP74" s="348">
        <f>BP29</f>
        <v>0.024</v>
      </c>
      <c r="BQ74" s="348">
        <f>BQ29</f>
        <v>0.0188</v>
      </c>
      <c r="BZ74" s="348">
        <f>BZ29</f>
        <v>439.68</v>
      </c>
      <c r="CA74" s="348">
        <f>CA29</f>
        <v>0.4832</v>
      </c>
      <c r="CF74" s="348">
        <f>CF29</f>
        <v>0</v>
      </c>
      <c r="CJ74" s="348">
        <f>CJ29</f>
        <v>115.2</v>
      </c>
      <c r="CK74" s="348">
        <f>CK29</f>
        <v>0.1332</v>
      </c>
      <c r="CO74" s="348">
        <f>CO29</f>
        <v>0</v>
      </c>
      <c r="CP74" s="348">
        <f>CP29</f>
        <v>0</v>
      </c>
      <c r="CT74" s="348">
        <f>CT29</f>
        <v>0.096</v>
      </c>
      <c r="CU74" s="348">
        <f>CU29</f>
        <v>0.072</v>
      </c>
      <c r="DD74" s="348">
        <f>DD29</f>
        <v>0.084</v>
      </c>
      <c r="DE74" s="348">
        <f>DE29</f>
        <v>0.0632</v>
      </c>
    </row>
    <row r="75" spans="3:109" ht="12.75">
      <c r="C75" s="348">
        <f>C31</f>
        <v>2398.2</v>
      </c>
      <c r="D75" s="348">
        <f>D31</f>
        <v>1.764</v>
      </c>
      <c r="G75" s="348">
        <f>G31</f>
        <v>0</v>
      </c>
      <c r="H75" s="348">
        <f>H31</f>
        <v>0</v>
      </c>
      <c r="K75" s="348">
        <f>K31</f>
        <v>495.6</v>
      </c>
      <c r="L75" s="348">
        <f>L31</f>
        <v>0.3786</v>
      </c>
      <c r="O75" s="348">
        <f>O31</f>
        <v>0</v>
      </c>
      <c r="P75" s="348">
        <f>P31</f>
        <v>0</v>
      </c>
      <c r="T75" s="348">
        <f>T31</f>
        <v>1835.4</v>
      </c>
      <c r="U75" s="348">
        <f>U31</f>
        <v>1.2693</v>
      </c>
      <c r="X75" s="348">
        <f>X31</f>
        <v>0</v>
      </c>
      <c r="Y75" s="348">
        <f>Y31</f>
        <v>0</v>
      </c>
      <c r="AC75" s="348">
        <f>AC31</f>
        <v>159.6</v>
      </c>
      <c r="AD75" s="348">
        <f>AD31</f>
        <v>0.0807</v>
      </c>
      <c r="AG75" s="348">
        <f>AG31</f>
        <v>0</v>
      </c>
      <c r="AH75" s="348">
        <f>AH31</f>
        <v>0.0705</v>
      </c>
      <c r="AL75" s="348">
        <f>AL31</f>
        <v>342.72</v>
      </c>
      <c r="AM75" s="348">
        <f>AM31</f>
        <v>0.3393</v>
      </c>
      <c r="AR75" s="348">
        <f>AR31</f>
        <v>0</v>
      </c>
      <c r="AV75" s="348">
        <f>AV31</f>
        <v>76.8</v>
      </c>
      <c r="AW75" s="348">
        <f>AW31</f>
        <v>0.0484</v>
      </c>
      <c r="BA75" s="348">
        <f>BA31</f>
        <v>0</v>
      </c>
      <c r="BB75" s="348">
        <f>BB31</f>
        <v>0.0161</v>
      </c>
      <c r="BF75" s="348">
        <f>BF31</f>
        <v>0.006</v>
      </c>
      <c r="BG75" s="348">
        <f>BG31</f>
        <v>0.0072</v>
      </c>
      <c r="BP75" s="348">
        <f>BP31</f>
        <v>0.024</v>
      </c>
      <c r="BQ75" s="348">
        <f>BQ31</f>
        <v>0.0204</v>
      </c>
      <c r="BZ75" s="348">
        <f>BZ31</f>
        <v>436.8</v>
      </c>
      <c r="CA75" s="348">
        <f>CA31</f>
        <v>0.5287</v>
      </c>
      <c r="CF75" s="348">
        <f>CF31</f>
        <v>0</v>
      </c>
      <c r="CJ75" s="348">
        <f>CJ31</f>
        <v>113.28</v>
      </c>
      <c r="CK75" s="348">
        <f>CK31</f>
        <v>0.145</v>
      </c>
      <c r="CO75" s="348">
        <f>CO31</f>
        <v>0</v>
      </c>
      <c r="CP75" s="348">
        <f>CP31</f>
        <v>0</v>
      </c>
      <c r="CT75" s="348">
        <f>CT31</f>
        <v>0.096</v>
      </c>
      <c r="CU75" s="348">
        <f>CU31</f>
        <v>0.0784</v>
      </c>
      <c r="DD75" s="348">
        <f>DD31</f>
        <v>0.09</v>
      </c>
      <c r="DE75" s="348">
        <f>DE31</f>
        <v>0.0692</v>
      </c>
    </row>
    <row r="76" spans="3:109" ht="12.75">
      <c r="C76" s="348">
        <f>C33</f>
        <v>2402.4</v>
      </c>
      <c r="D76" s="348">
        <f>D33</f>
        <v>1.9356</v>
      </c>
      <c r="G76" s="348">
        <f>G33</f>
        <v>0</v>
      </c>
      <c r="H76" s="348">
        <f>H33</f>
        <v>0</v>
      </c>
      <c r="K76" s="348">
        <f>K33</f>
        <v>499.8</v>
      </c>
      <c r="L76" s="348">
        <f>L33</f>
        <v>0.4143</v>
      </c>
      <c r="O76" s="348">
        <f>O33</f>
        <v>0</v>
      </c>
      <c r="P76" s="348">
        <f>P33</f>
        <v>0</v>
      </c>
      <c r="T76" s="348">
        <f>T33</f>
        <v>1831.2</v>
      </c>
      <c r="U76" s="348">
        <f>U33</f>
        <v>1.4001</v>
      </c>
      <c r="X76" s="348">
        <f>X33</f>
        <v>0</v>
      </c>
      <c r="Y76" s="348">
        <f>Y33</f>
        <v>0</v>
      </c>
      <c r="AC76" s="348">
        <f>AC33</f>
        <v>155.4</v>
      </c>
      <c r="AD76" s="348">
        <f>AD33</f>
        <v>0.0918</v>
      </c>
      <c r="AG76" s="348">
        <f>AG33</f>
        <v>0</v>
      </c>
      <c r="AH76" s="348">
        <f>AH33</f>
        <v>0.0705</v>
      </c>
      <c r="AL76" s="348">
        <f>AL33</f>
        <v>351.36</v>
      </c>
      <c r="AM76" s="348">
        <f>AM33</f>
        <v>0.3759</v>
      </c>
      <c r="AR76" s="348">
        <f>AR33</f>
        <v>0</v>
      </c>
      <c r="AV76" s="348">
        <f>AV33</f>
        <v>74.88</v>
      </c>
      <c r="AW76" s="348">
        <f>AW33</f>
        <v>0.0562</v>
      </c>
      <c r="BA76" s="348">
        <f>BA33</f>
        <v>0</v>
      </c>
      <c r="BB76" s="348">
        <f>BB33</f>
        <v>0.0161</v>
      </c>
      <c r="BF76" s="348">
        <f>BF33</f>
        <v>0.012</v>
      </c>
      <c r="BG76" s="348">
        <f>BG33</f>
        <v>0.008</v>
      </c>
      <c r="BP76" s="348">
        <f>BP33</f>
        <v>0.024</v>
      </c>
      <c r="BQ76" s="348">
        <f>BQ33</f>
        <v>0.022</v>
      </c>
      <c r="BZ76" s="348">
        <f>BZ33</f>
        <v>460.8</v>
      </c>
      <c r="CA76" s="348">
        <f>CA33</f>
        <v>0.5767</v>
      </c>
      <c r="CF76" s="348">
        <f>CF33</f>
        <v>0</v>
      </c>
      <c r="CJ76" s="348">
        <f>CJ33</f>
        <v>123.84</v>
      </c>
      <c r="CK76" s="348">
        <f>CK33</f>
        <v>0.1579</v>
      </c>
      <c r="CO76" s="348">
        <f>CO33</f>
        <v>0</v>
      </c>
      <c r="CP76" s="348">
        <f>CP33</f>
        <v>0</v>
      </c>
      <c r="CT76" s="348">
        <f>CT33</f>
        <v>0.102</v>
      </c>
      <c r="CU76" s="348">
        <f>CU33</f>
        <v>0.0852</v>
      </c>
      <c r="DD76" s="348">
        <f>DD33</f>
        <v>0.084</v>
      </c>
      <c r="DE76" s="348">
        <f>DE33</f>
        <v>0.0748</v>
      </c>
    </row>
    <row r="77" spans="3:109" ht="12.75">
      <c r="C77" s="348">
        <f>C35</f>
        <v>2499</v>
      </c>
      <c r="D77" s="348">
        <f>D35</f>
        <v>2.1141</v>
      </c>
      <c r="G77" s="348">
        <f>G35</f>
        <v>0</v>
      </c>
      <c r="H77" s="348">
        <f>H35</f>
        <v>0</v>
      </c>
      <c r="K77" s="348">
        <f>K35</f>
        <v>508.2</v>
      </c>
      <c r="L77" s="348">
        <f>L35</f>
        <v>0.4506</v>
      </c>
      <c r="O77" s="348">
        <f>O35</f>
        <v>0</v>
      </c>
      <c r="P77" s="348">
        <f>P35</f>
        <v>0</v>
      </c>
      <c r="T77" s="348">
        <f>T35</f>
        <v>1814.4</v>
      </c>
      <c r="U77" s="348">
        <f>U35</f>
        <v>1.5297</v>
      </c>
      <c r="X77" s="348">
        <f>X35</f>
        <v>0</v>
      </c>
      <c r="Y77" s="348">
        <f>Y35</f>
        <v>0</v>
      </c>
      <c r="AC77" s="348">
        <f>AC35</f>
        <v>155.4</v>
      </c>
      <c r="AD77" s="348">
        <f>AD35</f>
        <v>0.1029</v>
      </c>
      <c r="AG77" s="348">
        <f>AG35</f>
        <v>0</v>
      </c>
      <c r="AH77" s="348">
        <f>AH35</f>
        <v>0.0705</v>
      </c>
      <c r="AL77" s="348">
        <f>AL35</f>
        <v>331.2</v>
      </c>
      <c r="AM77" s="348">
        <f>AM35</f>
        <v>0.4104</v>
      </c>
      <c r="AR77" s="348">
        <f>AR35</f>
        <v>0</v>
      </c>
      <c r="AV77" s="348">
        <f>AV35</f>
        <v>72.96</v>
      </c>
      <c r="AW77" s="348">
        <f>AW35</f>
        <v>0.0638</v>
      </c>
      <c r="BA77" s="348">
        <f>BA35</f>
        <v>0</v>
      </c>
      <c r="BB77" s="348">
        <f>BB35</f>
        <v>0.0161</v>
      </c>
      <c r="BF77" s="348">
        <f>BF35</f>
        <v>0.006</v>
      </c>
      <c r="BG77" s="348">
        <f>BG35</f>
        <v>0.0084</v>
      </c>
      <c r="BP77" s="348">
        <f>BP35</f>
        <v>0.03</v>
      </c>
      <c r="BQ77" s="348">
        <f>BQ35</f>
        <v>0.024</v>
      </c>
      <c r="BZ77" s="348">
        <f>BZ35</f>
        <v>467.52</v>
      </c>
      <c r="CA77" s="348">
        <f>CA35</f>
        <v>0.6254</v>
      </c>
      <c r="CF77" s="348">
        <f>CF35</f>
        <v>0</v>
      </c>
      <c r="CJ77" s="348">
        <f>CJ35</f>
        <v>131.52</v>
      </c>
      <c r="CK77" s="348">
        <f>CK35</f>
        <v>0.1716</v>
      </c>
      <c r="CO77" s="348">
        <f>CO35</f>
        <v>0</v>
      </c>
      <c r="CP77" s="348">
        <f>CP35</f>
        <v>0</v>
      </c>
      <c r="CT77" s="348">
        <f>CT35</f>
        <v>0.096</v>
      </c>
      <c r="CU77" s="348">
        <f>CU35</f>
        <v>0.0916</v>
      </c>
      <c r="DD77" s="348">
        <f>DD35</f>
        <v>0.084</v>
      </c>
      <c r="DE77" s="348">
        <f>DE35</f>
        <v>0.0804</v>
      </c>
    </row>
    <row r="78" spans="3:109" ht="12.75">
      <c r="C78" s="348">
        <f>C37</f>
        <v>2532.6</v>
      </c>
      <c r="D78" s="348">
        <f>D37</f>
        <v>2.295</v>
      </c>
      <c r="G78" s="348">
        <f>G37</f>
        <v>0</v>
      </c>
      <c r="H78" s="348">
        <f>H37</f>
        <v>0</v>
      </c>
      <c r="K78" s="348">
        <f>K37</f>
        <v>499.8</v>
      </c>
      <c r="L78" s="348">
        <f>L37</f>
        <v>0.4863</v>
      </c>
      <c r="O78" s="348">
        <f>O37</f>
        <v>0</v>
      </c>
      <c r="P78" s="348">
        <f>P37</f>
        <v>0</v>
      </c>
      <c r="T78" s="348">
        <f>T37</f>
        <v>1864.8</v>
      </c>
      <c r="U78" s="348">
        <f>U37</f>
        <v>1.6629</v>
      </c>
      <c r="X78" s="348">
        <f>X37</f>
        <v>0</v>
      </c>
      <c r="Y78" s="348">
        <f>Y37</f>
        <v>0</v>
      </c>
      <c r="AC78" s="348">
        <f>AC37</f>
        <v>147</v>
      </c>
      <c r="AD78" s="348">
        <f>AD37</f>
        <v>0.1134</v>
      </c>
      <c r="AG78" s="348">
        <f>AG37</f>
        <v>0</v>
      </c>
      <c r="AH78" s="348">
        <f>AH37</f>
        <v>0.0705</v>
      </c>
      <c r="AL78" s="348">
        <f>AL37</f>
        <v>268.8</v>
      </c>
      <c r="AM78" s="348">
        <f>AM37</f>
        <v>0.4384</v>
      </c>
      <c r="AR78" s="348">
        <f>AR37</f>
        <v>0</v>
      </c>
      <c r="AV78" s="348">
        <f>AV37</f>
        <v>64.32</v>
      </c>
      <c r="AW78" s="348">
        <f>AW37</f>
        <v>0.0705</v>
      </c>
      <c r="BA78" s="348">
        <f>BA37</f>
        <v>0</v>
      </c>
      <c r="BB78" s="348">
        <f>BB37</f>
        <v>0.0161</v>
      </c>
      <c r="BF78" s="348">
        <f>BF37</f>
        <v>0.012</v>
      </c>
      <c r="BG78" s="348">
        <f>BG37</f>
        <v>0.0092</v>
      </c>
      <c r="BP78" s="348">
        <f>BP37</f>
        <v>0.024</v>
      </c>
      <c r="BQ78" s="348">
        <f>BQ37</f>
        <v>0.0256</v>
      </c>
      <c r="BZ78" s="348">
        <f>BZ37</f>
        <v>481.92</v>
      </c>
      <c r="CA78" s="348">
        <f>CA37</f>
        <v>0.6756</v>
      </c>
      <c r="CF78" s="348">
        <f>CF37</f>
        <v>0</v>
      </c>
      <c r="CJ78" s="348">
        <f>CJ37</f>
        <v>130.56</v>
      </c>
      <c r="CK78" s="348">
        <f>CK37</f>
        <v>0.1852</v>
      </c>
      <c r="CO78" s="348">
        <f>CO37</f>
        <v>0</v>
      </c>
      <c r="CP78" s="348">
        <f>CP37</f>
        <v>0</v>
      </c>
      <c r="CT78" s="348">
        <f>CT37</f>
        <v>0.096</v>
      </c>
      <c r="CU78" s="348">
        <f>CU37</f>
        <v>0.098</v>
      </c>
      <c r="DD78" s="348">
        <f>DD37</f>
        <v>0.09</v>
      </c>
      <c r="DE78" s="348">
        <f>DE37</f>
        <v>0.0864</v>
      </c>
    </row>
    <row r="79" spans="3:109" ht="12.75">
      <c r="C79" s="348">
        <f>C39</f>
        <v>2608.2</v>
      </c>
      <c r="D79" s="348">
        <f>D39</f>
        <v>2.4813</v>
      </c>
      <c r="G79" s="348">
        <f>G39</f>
        <v>0</v>
      </c>
      <c r="H79" s="348">
        <f>H39</f>
        <v>0</v>
      </c>
      <c r="K79" s="348">
        <f>K39</f>
        <v>487.2</v>
      </c>
      <c r="L79" s="348">
        <f>L39</f>
        <v>0.5211</v>
      </c>
      <c r="O79" s="348">
        <f>O39</f>
        <v>0</v>
      </c>
      <c r="P79" s="348">
        <f>P39</f>
        <v>0</v>
      </c>
      <c r="T79" s="348">
        <f>T39</f>
        <v>1948.8</v>
      </c>
      <c r="U79" s="348">
        <f>U39</f>
        <v>1.8021</v>
      </c>
      <c r="X79" s="348">
        <f>X39</f>
        <v>0</v>
      </c>
      <c r="Y79" s="348">
        <f>Y39</f>
        <v>0</v>
      </c>
      <c r="AC79" s="348">
        <f>AC39</f>
        <v>134.4</v>
      </c>
      <c r="AD79" s="348">
        <f>AD39</f>
        <v>0.123</v>
      </c>
      <c r="AG79" s="348">
        <f>AG39</f>
        <v>0</v>
      </c>
      <c r="AH79" s="348">
        <f>AH39</f>
        <v>0.0705</v>
      </c>
      <c r="AL79" s="348">
        <f>AL39</f>
        <v>263.04</v>
      </c>
      <c r="AM79" s="348">
        <f>AM39</f>
        <v>0.4658</v>
      </c>
      <c r="AR79" s="348">
        <f>AR39</f>
        <v>0</v>
      </c>
      <c r="AV79" s="348">
        <f>AV39</f>
        <v>58.56</v>
      </c>
      <c r="AW79" s="348">
        <f>AW39</f>
        <v>0.0766</v>
      </c>
      <c r="BA79" s="348">
        <f>BA39</f>
        <v>0.96</v>
      </c>
      <c r="BB79" s="348">
        <f>BB39</f>
        <v>0.0162</v>
      </c>
      <c r="BF79" s="348">
        <f>BF39</f>
        <v>0.012</v>
      </c>
      <c r="BG79" s="348">
        <f>BG39</f>
        <v>0.01</v>
      </c>
      <c r="BP79" s="348">
        <f>BP39</f>
        <v>0.024</v>
      </c>
      <c r="BQ79" s="348">
        <f>BQ39</f>
        <v>0.0272</v>
      </c>
      <c r="BZ79" s="348">
        <f>BZ39</f>
        <v>463.68</v>
      </c>
      <c r="CA79" s="348">
        <f>CA39</f>
        <v>0.7239</v>
      </c>
      <c r="CF79" s="348">
        <f>CF39</f>
        <v>0</v>
      </c>
      <c r="CJ79" s="348">
        <f>CJ39</f>
        <v>125.76</v>
      </c>
      <c r="CK79" s="348">
        <f>CK39</f>
        <v>0.1983</v>
      </c>
      <c r="CO79" s="348">
        <f>CO39</f>
        <v>0</v>
      </c>
      <c r="CP79" s="348">
        <f>CP39</f>
        <v>0</v>
      </c>
      <c r="CT79" s="348">
        <f>CT39</f>
        <v>0.102</v>
      </c>
      <c r="CU79" s="348">
        <f>CU39</f>
        <v>0.1048</v>
      </c>
      <c r="DD79" s="348">
        <f>DD39</f>
        <v>0.084</v>
      </c>
      <c r="DE79" s="348">
        <f>DE39</f>
        <v>0.092</v>
      </c>
    </row>
    <row r="80" spans="3:109" ht="12.75">
      <c r="C80" s="348">
        <f>C41</f>
        <v>2692.2</v>
      </c>
      <c r="D80" s="348">
        <f>D41</f>
        <v>2.6736</v>
      </c>
      <c r="G80" s="348">
        <f>G41</f>
        <v>0</v>
      </c>
      <c r="H80" s="348">
        <f>H41</f>
        <v>0</v>
      </c>
      <c r="K80" s="348">
        <f>K41</f>
        <v>462</v>
      </c>
      <c r="L80" s="348">
        <f>L41</f>
        <v>0.5541</v>
      </c>
      <c r="O80" s="348">
        <f>O41</f>
        <v>0</v>
      </c>
      <c r="P80" s="348">
        <f>P41</f>
        <v>0</v>
      </c>
      <c r="T80" s="348">
        <f>T41</f>
        <v>2032.8</v>
      </c>
      <c r="U80" s="348">
        <f>U41</f>
        <v>1.9473</v>
      </c>
      <c r="X80" s="348">
        <f>X41</f>
        <v>0</v>
      </c>
      <c r="Y80" s="348">
        <f>Y41</f>
        <v>0</v>
      </c>
      <c r="AC80" s="348">
        <f>AC41</f>
        <v>134.4</v>
      </c>
      <c r="AD80" s="348">
        <f>AD41</f>
        <v>0.1326</v>
      </c>
      <c r="AG80" s="348">
        <f>AG41</f>
        <v>0</v>
      </c>
      <c r="AH80" s="348">
        <f>AH41</f>
        <v>0.0705</v>
      </c>
      <c r="AL80" s="348">
        <f>AL41</f>
        <v>271.68</v>
      </c>
      <c r="AM80" s="348">
        <f>AM41</f>
        <v>0.4941</v>
      </c>
      <c r="AR80" s="348">
        <f>AR41</f>
        <v>0</v>
      </c>
      <c r="AV80" s="348">
        <f>AV41</f>
        <v>23.04</v>
      </c>
      <c r="AW80" s="348">
        <f>AW41</f>
        <v>0.079</v>
      </c>
      <c r="BA80" s="348">
        <f>BA41</f>
        <v>17.28</v>
      </c>
      <c r="BB80" s="348">
        <f>BB41</f>
        <v>0.018</v>
      </c>
      <c r="BF80" s="348">
        <f>BF41</f>
        <v>0.006</v>
      </c>
      <c r="BG80" s="348">
        <f>BG41</f>
        <v>0.0104</v>
      </c>
      <c r="BP80" s="348">
        <f>BP41</f>
        <v>0.03</v>
      </c>
      <c r="BQ80" s="348">
        <f>BQ41</f>
        <v>0.0292</v>
      </c>
      <c r="BZ80" s="348">
        <f>BZ41</f>
        <v>477.12</v>
      </c>
      <c r="CA80" s="348">
        <f>CA41</f>
        <v>0.7736</v>
      </c>
      <c r="CF80" s="348">
        <f>CF41</f>
        <v>0</v>
      </c>
      <c r="CJ80" s="348">
        <f>CJ41</f>
        <v>119.04</v>
      </c>
      <c r="CK80" s="348">
        <f>CK41</f>
        <v>0.2107</v>
      </c>
      <c r="CO80" s="348">
        <f>CO41</f>
        <v>0</v>
      </c>
      <c r="CP80" s="348">
        <f>CP41</f>
        <v>0</v>
      </c>
      <c r="CT80" s="348">
        <f>CT41</f>
        <v>0.126</v>
      </c>
      <c r="CU80" s="348">
        <f>CU41</f>
        <v>0.1132</v>
      </c>
      <c r="DD80" s="348">
        <f>DD41</f>
        <v>0.09</v>
      </c>
      <c r="DE80" s="348">
        <f>DE41</f>
        <v>0.098</v>
      </c>
    </row>
    <row r="81" spans="3:109" ht="12.75">
      <c r="C81" s="348">
        <f>C43</f>
        <v>2746.8</v>
      </c>
      <c r="D81" s="348">
        <f>D43</f>
        <v>2.8698</v>
      </c>
      <c r="G81" s="348">
        <f>G43</f>
        <v>0</v>
      </c>
      <c r="H81" s="348">
        <f>H43</f>
        <v>0</v>
      </c>
      <c r="K81" s="348">
        <f>K43</f>
        <v>453.6</v>
      </c>
      <c r="L81" s="348">
        <f>L43</f>
        <v>0.5865</v>
      </c>
      <c r="O81" s="348">
        <f>O43</f>
        <v>0</v>
      </c>
      <c r="P81" s="348">
        <f>P43</f>
        <v>0</v>
      </c>
      <c r="T81" s="348">
        <f>T43</f>
        <v>2074.8</v>
      </c>
      <c r="U81" s="348">
        <f>U43</f>
        <v>2.0955</v>
      </c>
      <c r="X81" s="348">
        <f>X43</f>
        <v>0</v>
      </c>
      <c r="Y81" s="348">
        <f>Y43</f>
        <v>0</v>
      </c>
      <c r="AC81" s="348">
        <f>AC43</f>
        <v>126</v>
      </c>
      <c r="AD81" s="348">
        <f>AD43</f>
        <v>0.1416</v>
      </c>
      <c r="AG81" s="348">
        <f>AG43</f>
        <v>0</v>
      </c>
      <c r="AH81" s="348">
        <f>AH43</f>
        <v>0.0705</v>
      </c>
      <c r="AL81" s="348">
        <f>AL43</f>
        <v>256.32</v>
      </c>
      <c r="AM81" s="348">
        <f>AM43</f>
        <v>0.5208</v>
      </c>
      <c r="AR81" s="348">
        <f>AR43</f>
        <v>0</v>
      </c>
      <c r="AV81" s="348">
        <f>AV43</f>
        <v>5.76</v>
      </c>
      <c r="AW81" s="348">
        <f>AW43</f>
        <v>0.0796</v>
      </c>
      <c r="BA81" s="348">
        <f>BA43</f>
        <v>33.6</v>
      </c>
      <c r="BB81" s="348">
        <f>BB43</f>
        <v>0.0215</v>
      </c>
      <c r="BF81" s="348">
        <f>BF43</f>
        <v>0.012</v>
      </c>
      <c r="BG81" s="348">
        <f>BG43</f>
        <v>0.0112</v>
      </c>
      <c r="BP81" s="348">
        <f>BP43</f>
        <v>0.024</v>
      </c>
      <c r="BQ81" s="348">
        <f>BQ43</f>
        <v>0.0308</v>
      </c>
      <c r="BZ81" s="348">
        <f>BZ43</f>
        <v>494.4</v>
      </c>
      <c r="CA81" s="348">
        <f>CA43</f>
        <v>0.8251</v>
      </c>
      <c r="CF81" s="348">
        <f>CF43</f>
        <v>0</v>
      </c>
      <c r="CJ81" s="348">
        <f>CJ43</f>
        <v>124.8</v>
      </c>
      <c r="CK81" s="348">
        <f>CK43</f>
        <v>0.2237</v>
      </c>
      <c r="CO81" s="348">
        <f>CO43</f>
        <v>0</v>
      </c>
      <c r="CP81" s="348">
        <f>CP43</f>
        <v>0</v>
      </c>
      <c r="CT81" s="348">
        <f>CT43</f>
        <v>0.096</v>
      </c>
      <c r="CU81" s="348">
        <f>CU43</f>
        <v>0.1196</v>
      </c>
      <c r="DD81" s="348">
        <f>DD43</f>
        <v>0.084</v>
      </c>
      <c r="DE81" s="348">
        <f>DE43</f>
        <v>0.1036</v>
      </c>
    </row>
    <row r="82" spans="3:109" ht="12.75">
      <c r="C82" s="348">
        <f>C45</f>
        <v>2734.2</v>
      </c>
      <c r="D82" s="348">
        <f>D45</f>
        <v>3.0651</v>
      </c>
      <c r="G82" s="348">
        <f>G45</f>
        <v>0</v>
      </c>
      <c r="H82" s="348">
        <f>H45</f>
        <v>0</v>
      </c>
      <c r="K82" s="348">
        <f>K45</f>
        <v>445.2</v>
      </c>
      <c r="L82" s="348">
        <f>L45</f>
        <v>0.6183</v>
      </c>
      <c r="O82" s="348">
        <f>O45</f>
        <v>0</v>
      </c>
      <c r="P82" s="348">
        <f>P45</f>
        <v>0</v>
      </c>
      <c r="T82" s="348">
        <f>T45</f>
        <v>2129.4</v>
      </c>
      <c r="U82" s="348">
        <f>U45</f>
        <v>2.2476</v>
      </c>
      <c r="X82" s="348">
        <f>X45</f>
        <v>0</v>
      </c>
      <c r="Y82" s="348">
        <f>Y45</f>
        <v>0</v>
      </c>
      <c r="AC82" s="348">
        <f>AC45</f>
        <v>126</v>
      </c>
      <c r="AD82" s="348">
        <f>AD45</f>
        <v>0.1506</v>
      </c>
      <c r="AG82" s="348">
        <f>AG45</f>
        <v>0</v>
      </c>
      <c r="AH82" s="348">
        <f>AH45</f>
        <v>0.0705</v>
      </c>
      <c r="AL82" s="348">
        <f>AL45</f>
        <v>341.76</v>
      </c>
      <c r="AM82" s="348">
        <f>AM45</f>
        <v>0.5564</v>
      </c>
      <c r="AR82" s="348">
        <f>AR45</f>
        <v>0</v>
      </c>
      <c r="AV82" s="348">
        <f>AV45</f>
        <v>50.88</v>
      </c>
      <c r="AW82" s="348">
        <f>AW45</f>
        <v>0.0849</v>
      </c>
      <c r="BA82" s="348">
        <f>BA45</f>
        <v>0</v>
      </c>
      <c r="BB82" s="348">
        <f>BB45</f>
        <v>0.0215</v>
      </c>
      <c r="BF82" s="348">
        <f>BF45</f>
        <v>0.006</v>
      </c>
      <c r="BG82" s="348">
        <f>BG45</f>
        <v>0.0116</v>
      </c>
      <c r="BP82" s="348">
        <f>BP45</f>
        <v>0.024</v>
      </c>
      <c r="BQ82" s="348">
        <f>BQ45</f>
        <v>0.0324</v>
      </c>
      <c r="BZ82" s="348">
        <f>BZ45</f>
        <v>509.76</v>
      </c>
      <c r="CA82" s="348">
        <f>CA45</f>
        <v>0.8782</v>
      </c>
      <c r="CF82" s="348">
        <f>CF45</f>
        <v>0</v>
      </c>
      <c r="CJ82" s="348">
        <f>CJ45</f>
        <v>123.84</v>
      </c>
      <c r="CK82" s="348">
        <f>CK45</f>
        <v>0.2366</v>
      </c>
      <c r="CO82" s="348">
        <f>CO45</f>
        <v>0</v>
      </c>
      <c r="CP82" s="348">
        <f>CP45</f>
        <v>0</v>
      </c>
      <c r="CT82" s="348">
        <f>CT45</f>
        <v>0.102</v>
      </c>
      <c r="CU82" s="348">
        <f>CU45</f>
        <v>0.1264</v>
      </c>
      <c r="DD82" s="348">
        <f>DD45</f>
        <v>0.084</v>
      </c>
      <c r="DE82" s="348">
        <f>DE45</f>
        <v>0.1092</v>
      </c>
    </row>
    <row r="83" spans="3:109" ht="12.75">
      <c r="C83" s="348">
        <f>C47</f>
        <v>2675.4</v>
      </c>
      <c r="D83" s="348">
        <f>D47</f>
        <v>3.2562</v>
      </c>
      <c r="G83" s="348">
        <f>G47</f>
        <v>0</v>
      </c>
      <c r="H83" s="348">
        <f>H47</f>
        <v>0</v>
      </c>
      <c r="K83" s="348">
        <f>K47</f>
        <v>449.4</v>
      </c>
      <c r="L83" s="348">
        <f>L47</f>
        <v>0.6504</v>
      </c>
      <c r="O83" s="348">
        <f>O47</f>
        <v>0</v>
      </c>
      <c r="P83" s="348">
        <f>P47</f>
        <v>0</v>
      </c>
      <c r="T83" s="348">
        <f>T47</f>
        <v>2074.8</v>
      </c>
      <c r="U83" s="348">
        <f>U47</f>
        <v>2.3958</v>
      </c>
      <c r="X83" s="348">
        <f>X47</f>
        <v>0</v>
      </c>
      <c r="Y83" s="348">
        <f>Y47</f>
        <v>0</v>
      </c>
      <c r="AC83" s="348">
        <f>AC47</f>
        <v>113.4</v>
      </c>
      <c r="AD83" s="348">
        <f>AD47</f>
        <v>0.1587</v>
      </c>
      <c r="AG83" s="348">
        <f>AG47</f>
        <v>0</v>
      </c>
      <c r="AH83" s="348">
        <f>AH47</f>
        <v>0.0705</v>
      </c>
      <c r="AL83" s="348">
        <f>AL47</f>
        <v>312</v>
      </c>
      <c r="AM83" s="348">
        <f>AM47</f>
        <v>0.5889</v>
      </c>
      <c r="AR83" s="348">
        <f>AR47</f>
        <v>0</v>
      </c>
      <c r="AV83" s="348">
        <f>AV47</f>
        <v>30.72</v>
      </c>
      <c r="AW83" s="348">
        <f>AW47</f>
        <v>0.0881</v>
      </c>
      <c r="BA83" s="348">
        <f>BA47</f>
        <v>3.84</v>
      </c>
      <c r="BB83" s="348">
        <f>BB47</f>
        <v>0.0219</v>
      </c>
      <c r="BF83" s="348">
        <f>BF47</f>
        <v>0.012</v>
      </c>
      <c r="BG83" s="348">
        <f>BG47</f>
        <v>0.0124</v>
      </c>
      <c r="BP83" s="348">
        <f>BP47</f>
        <v>0.024</v>
      </c>
      <c r="BQ83" s="348">
        <f>BQ47</f>
        <v>0.034</v>
      </c>
      <c r="BZ83" s="348">
        <f>BZ47</f>
        <v>520.32</v>
      </c>
      <c r="CA83" s="348">
        <f>CA47</f>
        <v>0.9324</v>
      </c>
      <c r="CF83" s="348">
        <f>CF47</f>
        <v>0</v>
      </c>
      <c r="CJ83" s="348">
        <f>CJ47</f>
        <v>134.4</v>
      </c>
      <c r="CK83" s="348">
        <f>CK47</f>
        <v>0.2506</v>
      </c>
      <c r="CO83" s="348">
        <f>CO47</f>
        <v>0</v>
      </c>
      <c r="CP83" s="348">
        <f>CP47</f>
        <v>0</v>
      </c>
      <c r="CT83" s="348">
        <f>CT47</f>
        <v>0.21</v>
      </c>
      <c r="CU83" s="348">
        <f>CU47</f>
        <v>0.1404</v>
      </c>
      <c r="DD83" s="348">
        <f>DD47</f>
        <v>0.348</v>
      </c>
      <c r="DE83" s="348">
        <f>DE47</f>
        <v>0.1324</v>
      </c>
    </row>
    <row r="84" spans="3:109" ht="12.75">
      <c r="C84" s="348">
        <f>C49</f>
        <v>2373</v>
      </c>
      <c r="D84" s="348">
        <f>D49</f>
        <v>3.4257</v>
      </c>
      <c r="G84" s="348">
        <f>G49</f>
        <v>0</v>
      </c>
      <c r="H84" s="348">
        <f>H49</f>
        <v>0</v>
      </c>
      <c r="K84" s="348">
        <f>K49</f>
        <v>457.8</v>
      </c>
      <c r="L84" s="348">
        <f>L49</f>
        <v>0.6831</v>
      </c>
      <c r="O84" s="348">
        <f>O49</f>
        <v>0</v>
      </c>
      <c r="P84" s="348">
        <f>P49</f>
        <v>0</v>
      </c>
      <c r="T84" s="348">
        <f>T49</f>
        <v>1734.6</v>
      </c>
      <c r="U84" s="348">
        <f>U49</f>
        <v>2.5197</v>
      </c>
      <c r="X84" s="348">
        <f>X49</f>
        <v>0</v>
      </c>
      <c r="Y84" s="348">
        <f>Y49</f>
        <v>0</v>
      </c>
      <c r="AC84" s="348">
        <f>AC49</f>
        <v>88.2</v>
      </c>
      <c r="AD84" s="348">
        <f>AD49</f>
        <v>0.165</v>
      </c>
      <c r="AG84" s="348">
        <f>AG49</f>
        <v>12.6</v>
      </c>
      <c r="AH84" s="348">
        <f>AH49</f>
        <v>0.0714</v>
      </c>
      <c r="AL84" s="348">
        <f>AL49</f>
        <v>262.08</v>
      </c>
      <c r="AM84" s="348">
        <f>AM49</f>
        <v>0.6162</v>
      </c>
      <c r="AR84" s="348">
        <f>AR49</f>
        <v>0</v>
      </c>
      <c r="AV84" s="348">
        <f>AV49</f>
        <v>7.68</v>
      </c>
      <c r="AW84" s="348">
        <f>AW49</f>
        <v>0.0889</v>
      </c>
      <c r="BA84" s="348">
        <f>BA49</f>
        <v>14.4</v>
      </c>
      <c r="BB84" s="348">
        <f>BB49</f>
        <v>0.0234</v>
      </c>
      <c r="BF84" s="348">
        <f>BF49</f>
        <v>0.012</v>
      </c>
      <c r="BG84" s="348">
        <f>BG49</f>
        <v>0.0132</v>
      </c>
      <c r="BP84" s="348">
        <f>BP49</f>
        <v>0.024</v>
      </c>
      <c r="BQ84" s="348">
        <f>BQ49</f>
        <v>0.0356</v>
      </c>
      <c r="BZ84" s="348">
        <f>BZ49</f>
        <v>503.04</v>
      </c>
      <c r="CA84" s="348">
        <f>CA49</f>
        <v>0.9848</v>
      </c>
      <c r="CF84" s="348">
        <f>CF49</f>
        <v>0</v>
      </c>
      <c r="CJ84" s="348">
        <f>CJ49</f>
        <v>132.48</v>
      </c>
      <c r="CK84" s="348">
        <f>CK49</f>
        <v>0.2644</v>
      </c>
      <c r="CO84" s="348">
        <f>CO49</f>
        <v>0</v>
      </c>
      <c r="CP84" s="348">
        <f>CP49</f>
        <v>0</v>
      </c>
      <c r="CT84" s="348">
        <f>CT49</f>
        <v>0.432</v>
      </c>
      <c r="CU84" s="348">
        <f>CU49</f>
        <v>0.1692</v>
      </c>
      <c r="DD84" s="348">
        <f>DD49</f>
        <v>0.75</v>
      </c>
      <c r="DE84" s="348">
        <f>DE49</f>
        <v>0.1824</v>
      </c>
    </row>
    <row r="85" spans="3:109" ht="12.75">
      <c r="C85" s="348">
        <f>C51</f>
        <v>1986.6</v>
      </c>
      <c r="D85" s="348">
        <f>D51</f>
        <v>3.5676</v>
      </c>
      <c r="G85" s="348">
        <f>G51</f>
        <v>0</v>
      </c>
      <c r="H85" s="348">
        <f>H51</f>
        <v>0</v>
      </c>
      <c r="K85" s="348">
        <f>K51</f>
        <v>424.2</v>
      </c>
      <c r="L85" s="348">
        <f>L51</f>
        <v>0.7134</v>
      </c>
      <c r="O85" s="348">
        <f>O51</f>
        <v>0</v>
      </c>
      <c r="P85" s="348">
        <f>P51</f>
        <v>0</v>
      </c>
      <c r="T85" s="348">
        <f>T51</f>
        <v>1407</v>
      </c>
      <c r="U85" s="348">
        <f>U51</f>
        <v>2.6202</v>
      </c>
      <c r="X85" s="348">
        <f>X51</f>
        <v>0</v>
      </c>
      <c r="Y85" s="348">
        <f>Y51</f>
        <v>0</v>
      </c>
      <c r="AC85" s="348">
        <f>AC51</f>
        <v>75.6</v>
      </c>
      <c r="AD85" s="348">
        <f>AD51</f>
        <v>0.1704</v>
      </c>
      <c r="AG85" s="348">
        <f>AG51</f>
        <v>21</v>
      </c>
      <c r="AH85" s="348">
        <f>AH51</f>
        <v>0.0729</v>
      </c>
      <c r="AL85" s="348">
        <f>AL51</f>
        <v>265.92</v>
      </c>
      <c r="AM85" s="348">
        <f>AM51</f>
        <v>0.6439</v>
      </c>
      <c r="AR85" s="348">
        <f>AR51</f>
        <v>0</v>
      </c>
      <c r="AV85" s="348">
        <f>AV51</f>
        <v>2.88</v>
      </c>
      <c r="AW85" s="348">
        <f>AW51</f>
        <v>0.0892</v>
      </c>
      <c r="BA85" s="348">
        <f>BA51</f>
        <v>33.6</v>
      </c>
      <c r="BB85" s="348">
        <f>BB51</f>
        <v>0.0269</v>
      </c>
      <c r="BF85" s="348">
        <f>BF51</f>
        <v>0.006</v>
      </c>
      <c r="BG85" s="348">
        <f>BG51</f>
        <v>0.0136</v>
      </c>
      <c r="BP85" s="348">
        <f>BP51</f>
        <v>0.03</v>
      </c>
      <c r="BQ85" s="348">
        <f>BQ51</f>
        <v>0.0376</v>
      </c>
      <c r="BZ85" s="348">
        <f>BZ51</f>
        <v>439.68</v>
      </c>
      <c r="CA85" s="348">
        <f>CA51</f>
        <v>1.0306</v>
      </c>
      <c r="CF85" s="348">
        <f>CF51</f>
        <v>0</v>
      </c>
      <c r="CJ85" s="348">
        <f>CJ51</f>
        <v>129.6</v>
      </c>
      <c r="CK85" s="348">
        <f>CK51</f>
        <v>0.2779</v>
      </c>
      <c r="CO85" s="348">
        <f>CO51</f>
        <v>0</v>
      </c>
      <c r="CP85" s="348">
        <f>CP51</f>
        <v>0</v>
      </c>
      <c r="CT85" s="348">
        <f>CT51</f>
        <v>0.426</v>
      </c>
      <c r="CU85" s="348">
        <f>CU51</f>
        <v>0.1976</v>
      </c>
      <c r="DD85" s="348">
        <f>DD51</f>
        <v>0.702</v>
      </c>
      <c r="DE85" s="348">
        <f>DE51</f>
        <v>0.2292</v>
      </c>
    </row>
    <row r="86" spans="3:109" ht="12.75">
      <c r="C86" s="348">
        <f>C53</f>
        <v>1701</v>
      </c>
      <c r="D86" s="348">
        <f>D53</f>
        <v>3.6891</v>
      </c>
      <c r="G86" s="348">
        <f>G53</f>
        <v>0</v>
      </c>
      <c r="H86" s="348">
        <f>H53</f>
        <v>0</v>
      </c>
      <c r="K86" s="348">
        <f>K53</f>
        <v>386.4</v>
      </c>
      <c r="L86" s="348">
        <f>L53</f>
        <v>0.741</v>
      </c>
      <c r="O86" s="348">
        <f>O53</f>
        <v>0</v>
      </c>
      <c r="P86" s="348">
        <f>P53</f>
        <v>0</v>
      </c>
      <c r="T86" s="348">
        <f>T53</f>
        <v>1184.4</v>
      </c>
      <c r="U86" s="348">
        <f>U53</f>
        <v>2.7048</v>
      </c>
      <c r="X86" s="348">
        <f>X53</f>
        <v>0</v>
      </c>
      <c r="Y86" s="348">
        <f>Y53</f>
        <v>0</v>
      </c>
      <c r="AC86" s="348">
        <f>AC53</f>
        <v>29.4</v>
      </c>
      <c r="AD86" s="348">
        <f>AD53</f>
        <v>0.1725</v>
      </c>
      <c r="AG86" s="348">
        <f>AG53</f>
        <v>75.6</v>
      </c>
      <c r="AH86" s="348">
        <f>AH53</f>
        <v>0.0783</v>
      </c>
      <c r="AL86" s="348">
        <f>AL53</f>
        <v>267.84</v>
      </c>
      <c r="AM86" s="348">
        <f>AM53</f>
        <v>0.6718</v>
      </c>
      <c r="AR86" s="348">
        <f>AR53</f>
        <v>0</v>
      </c>
      <c r="AV86" s="348">
        <f>AV53</f>
        <v>8.64</v>
      </c>
      <c r="AW86" s="348">
        <f>AW53</f>
        <v>0.0901</v>
      </c>
      <c r="BA86" s="348">
        <f>BA53</f>
        <v>33.6</v>
      </c>
      <c r="BB86" s="348">
        <f>BB53</f>
        <v>0.0304</v>
      </c>
      <c r="BF86" s="348">
        <f>BF53</f>
        <v>0.012</v>
      </c>
      <c r="BG86" s="348">
        <f>BG53</f>
        <v>0.0144</v>
      </c>
      <c r="BP86" s="348">
        <f>BP53</f>
        <v>0.024</v>
      </c>
      <c r="BQ86" s="348">
        <f>BQ53</f>
        <v>0.0392</v>
      </c>
      <c r="BZ86" s="348">
        <f>BZ53</f>
        <v>401.28</v>
      </c>
      <c r="CA86" s="348">
        <f>CA53</f>
        <v>1.0724</v>
      </c>
      <c r="CF86" s="348">
        <f>CF53</f>
        <v>0</v>
      </c>
      <c r="CJ86" s="348">
        <f>CJ53</f>
        <v>125.76</v>
      </c>
      <c r="CK86" s="348">
        <f>CK53</f>
        <v>0.291</v>
      </c>
      <c r="CO86" s="348">
        <f>CO53</f>
        <v>0</v>
      </c>
      <c r="CP86" s="348">
        <f>CP53</f>
        <v>0</v>
      </c>
      <c r="CT86" s="348">
        <f>CT53</f>
        <v>0.432</v>
      </c>
      <c r="CU86" s="348">
        <f>CU53</f>
        <v>0.2264</v>
      </c>
      <c r="DD86" s="348">
        <f>DD53</f>
        <v>0.696</v>
      </c>
      <c r="DE86" s="348">
        <f>DE53</f>
        <v>0.2756</v>
      </c>
    </row>
    <row r="87" spans="3:109" ht="12.75">
      <c r="C87" s="348">
        <f>C55</f>
        <v>1566.6</v>
      </c>
      <c r="D87" s="348">
        <f>D55</f>
        <v>3.801</v>
      </c>
      <c r="G87" s="348">
        <f>G55</f>
        <v>0</v>
      </c>
      <c r="H87" s="348">
        <f>H55</f>
        <v>0</v>
      </c>
      <c r="K87" s="348">
        <f>K55</f>
        <v>386.4</v>
      </c>
      <c r="L87" s="348">
        <f>L55</f>
        <v>0.7686</v>
      </c>
      <c r="O87" s="348">
        <f>O55</f>
        <v>0</v>
      </c>
      <c r="P87" s="348">
        <f>P55</f>
        <v>0</v>
      </c>
      <c r="T87" s="348">
        <f>T55</f>
        <v>1029</v>
      </c>
      <c r="U87" s="348">
        <f>U55</f>
        <v>2.7783</v>
      </c>
      <c r="X87" s="348">
        <f>X55</f>
        <v>0</v>
      </c>
      <c r="Y87" s="348">
        <f>Y55</f>
        <v>0</v>
      </c>
      <c r="AC87" s="348">
        <f>AC55</f>
        <v>8.4</v>
      </c>
      <c r="AD87" s="348">
        <f>AD55</f>
        <v>0.1731</v>
      </c>
      <c r="AG87" s="348">
        <f>AG55</f>
        <v>168</v>
      </c>
      <c r="AH87" s="348">
        <f>AH55</f>
        <v>0.0903</v>
      </c>
      <c r="AL87" s="348">
        <f>AL55</f>
        <v>265.92</v>
      </c>
      <c r="AM87" s="348">
        <f>AM55</f>
        <v>0.6995</v>
      </c>
      <c r="AR87" s="348">
        <f>AR55</f>
        <v>0</v>
      </c>
      <c r="AV87" s="348">
        <f>AV55</f>
        <v>0.96</v>
      </c>
      <c r="AW87" s="348">
        <f>AW55</f>
        <v>0.0902</v>
      </c>
      <c r="BA87" s="348">
        <f>BA55</f>
        <v>38.4</v>
      </c>
      <c r="BB87" s="613">
        <f>BB55</f>
        <v>0.0344</v>
      </c>
      <c r="BF87" s="348">
        <f>BF55</f>
        <v>0.006</v>
      </c>
      <c r="BG87" s="348">
        <f>BG55</f>
        <v>0.0148</v>
      </c>
      <c r="BP87" s="348">
        <f>BP55</f>
        <v>0.024</v>
      </c>
      <c r="BQ87" s="348">
        <f>BQ55</f>
        <v>0.0408</v>
      </c>
      <c r="BZ87" s="348">
        <f>BZ55</f>
        <v>386.88</v>
      </c>
      <c r="CA87" s="348">
        <f>CA55</f>
        <v>1.1127</v>
      </c>
      <c r="CF87" s="348">
        <f>CF55</f>
        <v>0</v>
      </c>
      <c r="CJ87" s="348">
        <f>CJ55</f>
        <v>114.24</v>
      </c>
      <c r="CK87" s="348">
        <f>CK55</f>
        <v>0.3029</v>
      </c>
      <c r="CO87" s="348">
        <f>CO55</f>
        <v>0</v>
      </c>
      <c r="CP87" s="348">
        <f>CP55</f>
        <v>0</v>
      </c>
      <c r="CT87" s="348">
        <f>CT55</f>
        <v>0.168</v>
      </c>
      <c r="CU87" s="348">
        <f>CU55</f>
        <v>0.2376</v>
      </c>
      <c r="DD87" s="348">
        <f>DD55</f>
        <v>0.222</v>
      </c>
      <c r="DE87" s="348">
        <f>DE55</f>
        <v>0.2904</v>
      </c>
    </row>
  </sheetData>
  <sheetProtection/>
  <mergeCells count="1920">
    <mergeCell ref="CH57:CH58"/>
    <mergeCell ref="CM57:CM58"/>
    <mergeCell ref="CR57:CR58"/>
    <mergeCell ref="CW57:CW58"/>
    <mergeCell ref="DB57:DB58"/>
    <mergeCell ref="DG57:DG58"/>
    <mergeCell ref="BD57:BD58"/>
    <mergeCell ref="BI57:BI58"/>
    <mergeCell ref="BN57:BN58"/>
    <mergeCell ref="BS57:BS58"/>
    <mergeCell ref="BX57:BX58"/>
    <mergeCell ref="CC57:CC58"/>
    <mergeCell ref="AA57:AA58"/>
    <mergeCell ref="AE57:AE58"/>
    <mergeCell ref="AJ57:AJ58"/>
    <mergeCell ref="AO57:AO58"/>
    <mergeCell ref="AT57:AT58"/>
    <mergeCell ref="AY57:AY58"/>
    <mergeCell ref="A57:A58"/>
    <mergeCell ref="E57:E58"/>
    <mergeCell ref="I57:I58"/>
    <mergeCell ref="M57:M58"/>
    <mergeCell ref="R57:R58"/>
    <mergeCell ref="V57:V58"/>
    <mergeCell ref="DB55:DB56"/>
    <mergeCell ref="DD55:DD56"/>
    <mergeCell ref="DE55:DE56"/>
    <mergeCell ref="DG55:DG56"/>
    <mergeCell ref="DI55:DI56"/>
    <mergeCell ref="DJ55:DJ56"/>
    <mergeCell ref="CR55:CR56"/>
    <mergeCell ref="CT55:CT56"/>
    <mergeCell ref="CU55:CU56"/>
    <mergeCell ref="CW55:CW56"/>
    <mergeCell ref="CY55:CY56"/>
    <mergeCell ref="CZ55:CZ56"/>
    <mergeCell ref="CH55:CH56"/>
    <mergeCell ref="CJ55:CJ56"/>
    <mergeCell ref="CK55:CK56"/>
    <mergeCell ref="CM55:CM56"/>
    <mergeCell ref="CO55:CO56"/>
    <mergeCell ref="CP55:CP56"/>
    <mergeCell ref="BX55:BX56"/>
    <mergeCell ref="BZ55:BZ56"/>
    <mergeCell ref="CA55:CA56"/>
    <mergeCell ref="CC55:CC56"/>
    <mergeCell ref="CE55:CE56"/>
    <mergeCell ref="CF55:CF56"/>
    <mergeCell ref="BN55:BN56"/>
    <mergeCell ref="BP55:BP56"/>
    <mergeCell ref="BQ55:BQ56"/>
    <mergeCell ref="BS55:BS56"/>
    <mergeCell ref="BU55:BU56"/>
    <mergeCell ref="BV55:BV56"/>
    <mergeCell ref="BD55:BD56"/>
    <mergeCell ref="BF55:BF56"/>
    <mergeCell ref="BG55:BG56"/>
    <mergeCell ref="BI55:BI56"/>
    <mergeCell ref="BK55:BK56"/>
    <mergeCell ref="BL55:BL56"/>
    <mergeCell ref="AT55:AT56"/>
    <mergeCell ref="AV55:AV56"/>
    <mergeCell ref="AW55:AW56"/>
    <mergeCell ref="AY55:AY56"/>
    <mergeCell ref="BA55:BA56"/>
    <mergeCell ref="BB55:BB56"/>
    <mergeCell ref="AJ55:AJ56"/>
    <mergeCell ref="AL55:AL56"/>
    <mergeCell ref="AM55:AM56"/>
    <mergeCell ref="AO55:AO56"/>
    <mergeCell ref="AQ55:AQ56"/>
    <mergeCell ref="AR55:AR56"/>
    <mergeCell ref="AA55:AA56"/>
    <mergeCell ref="AC55:AC56"/>
    <mergeCell ref="AD55:AD56"/>
    <mergeCell ref="AE55:AE56"/>
    <mergeCell ref="AG55:AG56"/>
    <mergeCell ref="AH55:AH56"/>
    <mergeCell ref="R55:R56"/>
    <mergeCell ref="T55:T56"/>
    <mergeCell ref="U55:U56"/>
    <mergeCell ref="V55:V56"/>
    <mergeCell ref="X55:X56"/>
    <mergeCell ref="Y55:Y56"/>
    <mergeCell ref="I55:I56"/>
    <mergeCell ref="K55:K56"/>
    <mergeCell ref="L55:L56"/>
    <mergeCell ref="M55:M56"/>
    <mergeCell ref="O55:O56"/>
    <mergeCell ref="P55:P56"/>
    <mergeCell ref="A55:A56"/>
    <mergeCell ref="C55:C56"/>
    <mergeCell ref="D55:D56"/>
    <mergeCell ref="E55:E56"/>
    <mergeCell ref="G55:G56"/>
    <mergeCell ref="H55:H56"/>
    <mergeCell ref="DB53:DB54"/>
    <mergeCell ref="DD53:DD54"/>
    <mergeCell ref="DE53:DE54"/>
    <mergeCell ref="DG53:DG54"/>
    <mergeCell ref="DI53:DI54"/>
    <mergeCell ref="DJ53:DJ54"/>
    <mergeCell ref="CR53:CR54"/>
    <mergeCell ref="CT53:CT54"/>
    <mergeCell ref="CU53:CU54"/>
    <mergeCell ref="CW53:CW54"/>
    <mergeCell ref="CY53:CY54"/>
    <mergeCell ref="CZ53:CZ54"/>
    <mergeCell ref="CH53:CH54"/>
    <mergeCell ref="CJ53:CJ54"/>
    <mergeCell ref="CK53:CK54"/>
    <mergeCell ref="CM53:CM54"/>
    <mergeCell ref="CO53:CO54"/>
    <mergeCell ref="CP53:CP54"/>
    <mergeCell ref="BX53:BX54"/>
    <mergeCell ref="BZ53:BZ54"/>
    <mergeCell ref="CA53:CA54"/>
    <mergeCell ref="CC53:CC54"/>
    <mergeCell ref="CE53:CE54"/>
    <mergeCell ref="CF53:CF54"/>
    <mergeCell ref="BN53:BN54"/>
    <mergeCell ref="BP53:BP54"/>
    <mergeCell ref="BQ53:BQ54"/>
    <mergeCell ref="BS53:BS54"/>
    <mergeCell ref="BU53:BU54"/>
    <mergeCell ref="BV53:BV54"/>
    <mergeCell ref="BD53:BD54"/>
    <mergeCell ref="BF53:BF54"/>
    <mergeCell ref="BG53:BG54"/>
    <mergeCell ref="BI53:BI54"/>
    <mergeCell ref="BK53:BK54"/>
    <mergeCell ref="BL53:BL54"/>
    <mergeCell ref="AT53:AT54"/>
    <mergeCell ref="AV53:AV54"/>
    <mergeCell ref="AW53:AW54"/>
    <mergeCell ref="AY53:AY54"/>
    <mergeCell ref="BA53:BA54"/>
    <mergeCell ref="BB53:BB54"/>
    <mergeCell ref="AJ53:AJ54"/>
    <mergeCell ref="AL53:AL54"/>
    <mergeCell ref="AM53:AM54"/>
    <mergeCell ref="AO53:AO54"/>
    <mergeCell ref="AQ53:AQ54"/>
    <mergeCell ref="AR53:AR54"/>
    <mergeCell ref="AA53:AA54"/>
    <mergeCell ref="AC53:AC54"/>
    <mergeCell ref="AD53:AD54"/>
    <mergeCell ref="AE53:AE54"/>
    <mergeCell ref="AG53:AG54"/>
    <mergeCell ref="AH53:AH54"/>
    <mergeCell ref="R53:R54"/>
    <mergeCell ref="T53:T54"/>
    <mergeCell ref="U53:U54"/>
    <mergeCell ref="V53:V54"/>
    <mergeCell ref="X53:X54"/>
    <mergeCell ref="Y53:Y54"/>
    <mergeCell ref="I53:I54"/>
    <mergeCell ref="K53:K54"/>
    <mergeCell ref="L53:L54"/>
    <mergeCell ref="M53:M54"/>
    <mergeCell ref="O53:O54"/>
    <mergeCell ref="P53:P54"/>
    <mergeCell ref="A53:A54"/>
    <mergeCell ref="C53:C54"/>
    <mergeCell ref="D53:D54"/>
    <mergeCell ref="E53:E54"/>
    <mergeCell ref="G53:G54"/>
    <mergeCell ref="H53:H54"/>
    <mergeCell ref="DB51:DB52"/>
    <mergeCell ref="DD51:DD52"/>
    <mergeCell ref="DE51:DE52"/>
    <mergeCell ref="DG51:DG52"/>
    <mergeCell ref="DI51:DI52"/>
    <mergeCell ref="DJ51:DJ52"/>
    <mergeCell ref="CR51:CR52"/>
    <mergeCell ref="CT51:CT52"/>
    <mergeCell ref="CU51:CU52"/>
    <mergeCell ref="CW51:CW52"/>
    <mergeCell ref="CY51:CY52"/>
    <mergeCell ref="CZ51:CZ52"/>
    <mergeCell ref="CH51:CH52"/>
    <mergeCell ref="CJ51:CJ52"/>
    <mergeCell ref="CK51:CK52"/>
    <mergeCell ref="CM51:CM52"/>
    <mergeCell ref="CO51:CO52"/>
    <mergeCell ref="CP51:CP52"/>
    <mergeCell ref="BX51:BX52"/>
    <mergeCell ref="BZ51:BZ52"/>
    <mergeCell ref="CA51:CA52"/>
    <mergeCell ref="CC51:CC52"/>
    <mergeCell ref="CE51:CE52"/>
    <mergeCell ref="CF51:CF52"/>
    <mergeCell ref="BN51:BN52"/>
    <mergeCell ref="BP51:BP52"/>
    <mergeCell ref="BQ51:BQ52"/>
    <mergeCell ref="BS51:BS52"/>
    <mergeCell ref="BU51:BU52"/>
    <mergeCell ref="BV51:BV52"/>
    <mergeCell ref="BD51:BD52"/>
    <mergeCell ref="BF51:BF52"/>
    <mergeCell ref="BG51:BG52"/>
    <mergeCell ref="BI51:BI52"/>
    <mergeCell ref="BK51:BK52"/>
    <mergeCell ref="BL51:BL52"/>
    <mergeCell ref="AT51:AT52"/>
    <mergeCell ref="AV51:AV52"/>
    <mergeCell ref="AW51:AW52"/>
    <mergeCell ref="AY51:AY52"/>
    <mergeCell ref="BA51:BA52"/>
    <mergeCell ref="BB51:BB52"/>
    <mergeCell ref="AJ51:AJ52"/>
    <mergeCell ref="AL51:AL52"/>
    <mergeCell ref="AM51:AM52"/>
    <mergeCell ref="AO51:AO52"/>
    <mergeCell ref="AQ51:AQ52"/>
    <mergeCell ref="AR51:AR52"/>
    <mergeCell ref="AA51:AA52"/>
    <mergeCell ref="AC51:AC52"/>
    <mergeCell ref="AD51:AD52"/>
    <mergeCell ref="AE51:AE52"/>
    <mergeCell ref="AG51:AG52"/>
    <mergeCell ref="AH51:AH52"/>
    <mergeCell ref="R51:R52"/>
    <mergeCell ref="T51:T52"/>
    <mergeCell ref="U51:U52"/>
    <mergeCell ref="V51:V52"/>
    <mergeCell ref="X51:X52"/>
    <mergeCell ref="Y51:Y52"/>
    <mergeCell ref="I51:I52"/>
    <mergeCell ref="K51:K52"/>
    <mergeCell ref="L51:L52"/>
    <mergeCell ref="M51:M52"/>
    <mergeCell ref="O51:O52"/>
    <mergeCell ref="P51:P52"/>
    <mergeCell ref="A51:A52"/>
    <mergeCell ref="C51:C52"/>
    <mergeCell ref="D51:D52"/>
    <mergeCell ref="E51:E52"/>
    <mergeCell ref="G51:G52"/>
    <mergeCell ref="H51:H52"/>
    <mergeCell ref="DB49:DB50"/>
    <mergeCell ref="DD49:DD50"/>
    <mergeCell ref="DE49:DE50"/>
    <mergeCell ref="DG49:DG50"/>
    <mergeCell ref="DI49:DI50"/>
    <mergeCell ref="DJ49:DJ50"/>
    <mergeCell ref="CR49:CR50"/>
    <mergeCell ref="CT49:CT50"/>
    <mergeCell ref="CU49:CU50"/>
    <mergeCell ref="CW49:CW50"/>
    <mergeCell ref="CY49:CY50"/>
    <mergeCell ref="CZ49:CZ50"/>
    <mergeCell ref="CH49:CH50"/>
    <mergeCell ref="CJ49:CJ50"/>
    <mergeCell ref="CK49:CK50"/>
    <mergeCell ref="CM49:CM50"/>
    <mergeCell ref="CO49:CO50"/>
    <mergeCell ref="CP49:CP50"/>
    <mergeCell ref="BX49:BX50"/>
    <mergeCell ref="BZ49:BZ50"/>
    <mergeCell ref="CA49:CA50"/>
    <mergeCell ref="CC49:CC50"/>
    <mergeCell ref="CE49:CE50"/>
    <mergeCell ref="CF49:CF50"/>
    <mergeCell ref="BN49:BN50"/>
    <mergeCell ref="BP49:BP50"/>
    <mergeCell ref="BQ49:BQ50"/>
    <mergeCell ref="BS49:BS50"/>
    <mergeCell ref="BU49:BU50"/>
    <mergeCell ref="BV49:BV50"/>
    <mergeCell ref="BD49:BD50"/>
    <mergeCell ref="BF49:BF50"/>
    <mergeCell ref="BG49:BG50"/>
    <mergeCell ref="BI49:BI50"/>
    <mergeCell ref="BK49:BK50"/>
    <mergeCell ref="BL49:BL50"/>
    <mergeCell ref="AT49:AT50"/>
    <mergeCell ref="AV49:AV50"/>
    <mergeCell ref="AW49:AW50"/>
    <mergeCell ref="AY49:AY50"/>
    <mergeCell ref="BA49:BA50"/>
    <mergeCell ref="BB49:BB50"/>
    <mergeCell ref="AJ49:AJ50"/>
    <mergeCell ref="AL49:AL50"/>
    <mergeCell ref="AM49:AM50"/>
    <mergeCell ref="AO49:AO50"/>
    <mergeCell ref="AQ49:AQ50"/>
    <mergeCell ref="AR49:AR50"/>
    <mergeCell ref="AA49:AA50"/>
    <mergeCell ref="AC49:AC50"/>
    <mergeCell ref="AD49:AD50"/>
    <mergeCell ref="AE49:AE50"/>
    <mergeCell ref="AG49:AG50"/>
    <mergeCell ref="AH49:AH50"/>
    <mergeCell ref="R49:R50"/>
    <mergeCell ref="T49:T50"/>
    <mergeCell ref="U49:U50"/>
    <mergeCell ref="V49:V50"/>
    <mergeCell ref="X49:X50"/>
    <mergeCell ref="Y49:Y50"/>
    <mergeCell ref="I49:I50"/>
    <mergeCell ref="K49:K50"/>
    <mergeCell ref="L49:L50"/>
    <mergeCell ref="M49:M50"/>
    <mergeCell ref="O49:O50"/>
    <mergeCell ref="P49:P50"/>
    <mergeCell ref="A49:A50"/>
    <mergeCell ref="C49:C50"/>
    <mergeCell ref="D49:D50"/>
    <mergeCell ref="E49:E50"/>
    <mergeCell ref="G49:G50"/>
    <mergeCell ref="H49:H50"/>
    <mergeCell ref="DB47:DB48"/>
    <mergeCell ref="DD47:DD48"/>
    <mergeCell ref="DE47:DE48"/>
    <mergeCell ref="DG47:DG48"/>
    <mergeCell ref="DI47:DI48"/>
    <mergeCell ref="DJ47:DJ48"/>
    <mergeCell ref="CR47:CR48"/>
    <mergeCell ref="CT47:CT48"/>
    <mergeCell ref="CU47:CU48"/>
    <mergeCell ref="CW47:CW48"/>
    <mergeCell ref="CY47:CY48"/>
    <mergeCell ref="CZ47:CZ48"/>
    <mergeCell ref="CH47:CH48"/>
    <mergeCell ref="CJ47:CJ48"/>
    <mergeCell ref="CK47:CK48"/>
    <mergeCell ref="CM47:CM48"/>
    <mergeCell ref="CO47:CO48"/>
    <mergeCell ref="CP47:CP48"/>
    <mergeCell ref="BX47:BX48"/>
    <mergeCell ref="BZ47:BZ48"/>
    <mergeCell ref="CA47:CA48"/>
    <mergeCell ref="CC47:CC48"/>
    <mergeCell ref="CE47:CE48"/>
    <mergeCell ref="CF47:CF48"/>
    <mergeCell ref="BN47:BN48"/>
    <mergeCell ref="BP47:BP48"/>
    <mergeCell ref="BQ47:BQ48"/>
    <mergeCell ref="BS47:BS48"/>
    <mergeCell ref="BU47:BU48"/>
    <mergeCell ref="BV47:BV48"/>
    <mergeCell ref="BD47:BD48"/>
    <mergeCell ref="BF47:BF48"/>
    <mergeCell ref="BG47:BG48"/>
    <mergeCell ref="BI47:BI48"/>
    <mergeCell ref="BK47:BK48"/>
    <mergeCell ref="BL47:BL48"/>
    <mergeCell ref="AT47:AT48"/>
    <mergeCell ref="AV47:AV48"/>
    <mergeCell ref="AW47:AW48"/>
    <mergeCell ref="AY47:AY48"/>
    <mergeCell ref="BA47:BA48"/>
    <mergeCell ref="BB47:BB48"/>
    <mergeCell ref="AJ47:AJ48"/>
    <mergeCell ref="AL47:AL48"/>
    <mergeCell ref="AM47:AM48"/>
    <mergeCell ref="AO47:AO48"/>
    <mergeCell ref="AQ47:AQ48"/>
    <mergeCell ref="AR47:AR48"/>
    <mergeCell ref="AA47:AA48"/>
    <mergeCell ref="AC47:AC48"/>
    <mergeCell ref="AD47:AD48"/>
    <mergeCell ref="AE47:AE48"/>
    <mergeCell ref="AG47:AG48"/>
    <mergeCell ref="AH47:AH48"/>
    <mergeCell ref="R47:R48"/>
    <mergeCell ref="T47:T48"/>
    <mergeCell ref="U47:U48"/>
    <mergeCell ref="V47:V48"/>
    <mergeCell ref="X47:X48"/>
    <mergeCell ref="Y47:Y48"/>
    <mergeCell ref="I47:I48"/>
    <mergeCell ref="K47:K48"/>
    <mergeCell ref="L47:L48"/>
    <mergeCell ref="M47:M48"/>
    <mergeCell ref="O47:O48"/>
    <mergeCell ref="P47:P48"/>
    <mergeCell ref="A47:A48"/>
    <mergeCell ref="C47:C48"/>
    <mergeCell ref="D47:D48"/>
    <mergeCell ref="E47:E48"/>
    <mergeCell ref="G47:G48"/>
    <mergeCell ref="H47:H48"/>
    <mergeCell ref="DB45:DB46"/>
    <mergeCell ref="DD45:DD46"/>
    <mergeCell ref="DE45:DE46"/>
    <mergeCell ref="DG45:DG46"/>
    <mergeCell ref="DI45:DI46"/>
    <mergeCell ref="DJ45:DJ46"/>
    <mergeCell ref="CR45:CR46"/>
    <mergeCell ref="CT45:CT46"/>
    <mergeCell ref="CU45:CU46"/>
    <mergeCell ref="CW45:CW46"/>
    <mergeCell ref="CY45:CY46"/>
    <mergeCell ref="CZ45:CZ46"/>
    <mergeCell ref="CH45:CH46"/>
    <mergeCell ref="CJ45:CJ46"/>
    <mergeCell ref="CK45:CK46"/>
    <mergeCell ref="CM45:CM46"/>
    <mergeCell ref="CO45:CO46"/>
    <mergeCell ref="CP45:CP46"/>
    <mergeCell ref="BX45:BX46"/>
    <mergeCell ref="BZ45:BZ46"/>
    <mergeCell ref="CA45:CA46"/>
    <mergeCell ref="CC45:CC46"/>
    <mergeCell ref="CE45:CE46"/>
    <mergeCell ref="CF45:CF46"/>
    <mergeCell ref="BN45:BN46"/>
    <mergeCell ref="BP45:BP46"/>
    <mergeCell ref="BQ45:BQ46"/>
    <mergeCell ref="BS45:BS46"/>
    <mergeCell ref="BU45:BU46"/>
    <mergeCell ref="BV45:BV46"/>
    <mergeCell ref="BD45:BD46"/>
    <mergeCell ref="BF45:BF46"/>
    <mergeCell ref="BG45:BG46"/>
    <mergeCell ref="BI45:BI46"/>
    <mergeCell ref="BK45:BK46"/>
    <mergeCell ref="BL45:BL46"/>
    <mergeCell ref="AT45:AT46"/>
    <mergeCell ref="AV45:AV46"/>
    <mergeCell ref="AW45:AW46"/>
    <mergeCell ref="AY45:AY46"/>
    <mergeCell ref="BA45:BA46"/>
    <mergeCell ref="BB45:BB46"/>
    <mergeCell ref="AJ45:AJ46"/>
    <mergeCell ref="AL45:AL46"/>
    <mergeCell ref="AM45:AM46"/>
    <mergeCell ref="AO45:AO46"/>
    <mergeCell ref="AQ45:AQ46"/>
    <mergeCell ref="AR45:AR46"/>
    <mergeCell ref="AA45:AA46"/>
    <mergeCell ref="AC45:AC46"/>
    <mergeCell ref="AD45:AD46"/>
    <mergeCell ref="AE45:AE46"/>
    <mergeCell ref="AG45:AG46"/>
    <mergeCell ref="AH45:AH46"/>
    <mergeCell ref="R45:R46"/>
    <mergeCell ref="T45:T46"/>
    <mergeCell ref="U45:U46"/>
    <mergeCell ref="V45:V46"/>
    <mergeCell ref="X45:X46"/>
    <mergeCell ref="Y45:Y46"/>
    <mergeCell ref="I45:I46"/>
    <mergeCell ref="K45:K46"/>
    <mergeCell ref="L45:L46"/>
    <mergeCell ref="M45:M46"/>
    <mergeCell ref="O45:O46"/>
    <mergeCell ref="P45:P46"/>
    <mergeCell ref="A45:A46"/>
    <mergeCell ref="C45:C46"/>
    <mergeCell ref="D45:D46"/>
    <mergeCell ref="E45:E46"/>
    <mergeCell ref="G45:G46"/>
    <mergeCell ref="H45:H46"/>
    <mergeCell ref="DB43:DB44"/>
    <mergeCell ref="DD43:DD44"/>
    <mergeCell ref="DE43:DE44"/>
    <mergeCell ref="DG43:DG44"/>
    <mergeCell ref="DI43:DI44"/>
    <mergeCell ref="DJ43:DJ44"/>
    <mergeCell ref="CR43:CR44"/>
    <mergeCell ref="CT43:CT44"/>
    <mergeCell ref="CU43:CU44"/>
    <mergeCell ref="CW43:CW44"/>
    <mergeCell ref="CY43:CY44"/>
    <mergeCell ref="CZ43:CZ44"/>
    <mergeCell ref="CH43:CH44"/>
    <mergeCell ref="CJ43:CJ44"/>
    <mergeCell ref="CK43:CK44"/>
    <mergeCell ref="CM43:CM44"/>
    <mergeCell ref="CO43:CO44"/>
    <mergeCell ref="CP43:CP44"/>
    <mergeCell ref="BX43:BX44"/>
    <mergeCell ref="BZ43:BZ44"/>
    <mergeCell ref="CA43:CA44"/>
    <mergeCell ref="CC43:CC44"/>
    <mergeCell ref="CE43:CE44"/>
    <mergeCell ref="CF43:CF44"/>
    <mergeCell ref="BN43:BN44"/>
    <mergeCell ref="BP43:BP44"/>
    <mergeCell ref="BQ43:BQ44"/>
    <mergeCell ref="BS43:BS44"/>
    <mergeCell ref="BU43:BU44"/>
    <mergeCell ref="BV43:BV44"/>
    <mergeCell ref="BD43:BD44"/>
    <mergeCell ref="BF43:BF44"/>
    <mergeCell ref="BG43:BG44"/>
    <mergeCell ref="BI43:BI44"/>
    <mergeCell ref="BK43:BK44"/>
    <mergeCell ref="BL43:BL44"/>
    <mergeCell ref="AT43:AT44"/>
    <mergeCell ref="AV43:AV44"/>
    <mergeCell ref="AW43:AW44"/>
    <mergeCell ref="AY43:AY44"/>
    <mergeCell ref="BA43:BA44"/>
    <mergeCell ref="BB43:BB44"/>
    <mergeCell ref="AJ43:AJ44"/>
    <mergeCell ref="AL43:AL44"/>
    <mergeCell ref="AM43:AM44"/>
    <mergeCell ref="AO43:AO44"/>
    <mergeCell ref="AQ43:AQ44"/>
    <mergeCell ref="AR43:AR44"/>
    <mergeCell ref="AA43:AA44"/>
    <mergeCell ref="AC43:AC44"/>
    <mergeCell ref="AD43:AD44"/>
    <mergeCell ref="AE43:AE44"/>
    <mergeCell ref="AG43:AG44"/>
    <mergeCell ref="AH43:AH44"/>
    <mergeCell ref="R43:R44"/>
    <mergeCell ref="T43:T44"/>
    <mergeCell ref="U43:U44"/>
    <mergeCell ref="V43:V44"/>
    <mergeCell ref="X43:X44"/>
    <mergeCell ref="Y43:Y44"/>
    <mergeCell ref="I43:I44"/>
    <mergeCell ref="K43:K44"/>
    <mergeCell ref="L43:L44"/>
    <mergeCell ref="M43:M44"/>
    <mergeCell ref="O43:O44"/>
    <mergeCell ref="P43:P44"/>
    <mergeCell ref="A43:A44"/>
    <mergeCell ref="C43:C44"/>
    <mergeCell ref="D43:D44"/>
    <mergeCell ref="E43:E44"/>
    <mergeCell ref="G43:G44"/>
    <mergeCell ref="H43:H44"/>
    <mergeCell ref="DB41:DB42"/>
    <mergeCell ref="DD41:DD42"/>
    <mergeCell ref="DE41:DE42"/>
    <mergeCell ref="DG41:DG42"/>
    <mergeCell ref="DI41:DI42"/>
    <mergeCell ref="DJ41:DJ42"/>
    <mergeCell ref="CR41:CR42"/>
    <mergeCell ref="CT41:CT42"/>
    <mergeCell ref="CU41:CU42"/>
    <mergeCell ref="CW41:CW42"/>
    <mergeCell ref="CY41:CY42"/>
    <mergeCell ref="CZ41:CZ42"/>
    <mergeCell ref="CH41:CH42"/>
    <mergeCell ref="CJ41:CJ42"/>
    <mergeCell ref="CK41:CK42"/>
    <mergeCell ref="CM41:CM42"/>
    <mergeCell ref="CO41:CO42"/>
    <mergeCell ref="CP41:CP42"/>
    <mergeCell ref="BX41:BX42"/>
    <mergeCell ref="BZ41:BZ42"/>
    <mergeCell ref="CA41:CA42"/>
    <mergeCell ref="CC41:CC42"/>
    <mergeCell ref="CE41:CE42"/>
    <mergeCell ref="CF41:CF42"/>
    <mergeCell ref="BN41:BN42"/>
    <mergeCell ref="BP41:BP42"/>
    <mergeCell ref="BQ41:BQ42"/>
    <mergeCell ref="BS41:BS42"/>
    <mergeCell ref="BU41:BU42"/>
    <mergeCell ref="BV41:BV42"/>
    <mergeCell ref="BD41:BD42"/>
    <mergeCell ref="BF41:BF42"/>
    <mergeCell ref="BG41:BG42"/>
    <mergeCell ref="BI41:BI42"/>
    <mergeCell ref="BK41:BK42"/>
    <mergeCell ref="BL41:BL42"/>
    <mergeCell ref="AT41:AT42"/>
    <mergeCell ref="AV41:AV42"/>
    <mergeCell ref="AW41:AW42"/>
    <mergeCell ref="AY41:AY42"/>
    <mergeCell ref="BA41:BA42"/>
    <mergeCell ref="BB41:BB42"/>
    <mergeCell ref="AJ41:AJ42"/>
    <mergeCell ref="AL41:AL42"/>
    <mergeCell ref="AM41:AM42"/>
    <mergeCell ref="AO41:AO42"/>
    <mergeCell ref="AQ41:AQ42"/>
    <mergeCell ref="AR41:AR42"/>
    <mergeCell ref="AA41:AA42"/>
    <mergeCell ref="AC41:AC42"/>
    <mergeCell ref="AD41:AD42"/>
    <mergeCell ref="AE41:AE42"/>
    <mergeCell ref="AG41:AG42"/>
    <mergeCell ref="AH41:AH42"/>
    <mergeCell ref="R41:R42"/>
    <mergeCell ref="T41:T42"/>
    <mergeCell ref="U41:U42"/>
    <mergeCell ref="V41:V42"/>
    <mergeCell ref="X41:X42"/>
    <mergeCell ref="Y41:Y42"/>
    <mergeCell ref="I41:I42"/>
    <mergeCell ref="K41:K42"/>
    <mergeCell ref="L41:L42"/>
    <mergeCell ref="M41:M42"/>
    <mergeCell ref="O41:O42"/>
    <mergeCell ref="P41:P42"/>
    <mergeCell ref="A41:A42"/>
    <mergeCell ref="C41:C42"/>
    <mergeCell ref="D41:D42"/>
    <mergeCell ref="E41:E42"/>
    <mergeCell ref="G41:G42"/>
    <mergeCell ref="H41:H42"/>
    <mergeCell ref="DB39:DB40"/>
    <mergeCell ref="DD39:DD40"/>
    <mergeCell ref="DE39:DE40"/>
    <mergeCell ref="DG39:DG40"/>
    <mergeCell ref="DI39:DI40"/>
    <mergeCell ref="DJ39:DJ40"/>
    <mergeCell ref="CR39:CR40"/>
    <mergeCell ref="CT39:CT40"/>
    <mergeCell ref="CU39:CU40"/>
    <mergeCell ref="CW39:CW40"/>
    <mergeCell ref="CY39:CY40"/>
    <mergeCell ref="CZ39:CZ40"/>
    <mergeCell ref="CH39:CH40"/>
    <mergeCell ref="CJ39:CJ40"/>
    <mergeCell ref="CK39:CK40"/>
    <mergeCell ref="CM39:CM40"/>
    <mergeCell ref="CO39:CO40"/>
    <mergeCell ref="CP39:CP40"/>
    <mergeCell ref="BX39:BX40"/>
    <mergeCell ref="BZ39:BZ40"/>
    <mergeCell ref="CA39:CA40"/>
    <mergeCell ref="CC39:CC40"/>
    <mergeCell ref="CE39:CE40"/>
    <mergeCell ref="CF39:CF40"/>
    <mergeCell ref="BN39:BN40"/>
    <mergeCell ref="BP39:BP40"/>
    <mergeCell ref="BQ39:BQ40"/>
    <mergeCell ref="BS39:BS40"/>
    <mergeCell ref="BU39:BU40"/>
    <mergeCell ref="BV39:BV40"/>
    <mergeCell ref="BD39:BD40"/>
    <mergeCell ref="BF39:BF40"/>
    <mergeCell ref="BG39:BG40"/>
    <mergeCell ref="BI39:BI40"/>
    <mergeCell ref="BK39:BK40"/>
    <mergeCell ref="BL39:BL40"/>
    <mergeCell ref="AT39:AT40"/>
    <mergeCell ref="AV39:AV40"/>
    <mergeCell ref="AW39:AW40"/>
    <mergeCell ref="AY39:AY40"/>
    <mergeCell ref="BA39:BA40"/>
    <mergeCell ref="BB39:BB40"/>
    <mergeCell ref="AJ39:AJ40"/>
    <mergeCell ref="AL39:AL40"/>
    <mergeCell ref="AM39:AM40"/>
    <mergeCell ref="AO39:AO40"/>
    <mergeCell ref="AQ39:AQ40"/>
    <mergeCell ref="AR39:AR40"/>
    <mergeCell ref="AA39:AA40"/>
    <mergeCell ref="AC39:AC40"/>
    <mergeCell ref="AD39:AD40"/>
    <mergeCell ref="AE39:AE40"/>
    <mergeCell ref="AG39:AG40"/>
    <mergeCell ref="AH39:AH40"/>
    <mergeCell ref="R39:R40"/>
    <mergeCell ref="T39:T40"/>
    <mergeCell ref="U39:U40"/>
    <mergeCell ref="V39:V40"/>
    <mergeCell ref="X39:X40"/>
    <mergeCell ref="Y39:Y40"/>
    <mergeCell ref="I39:I40"/>
    <mergeCell ref="K39:K40"/>
    <mergeCell ref="L39:L40"/>
    <mergeCell ref="M39:M40"/>
    <mergeCell ref="O39:O40"/>
    <mergeCell ref="P39:P40"/>
    <mergeCell ref="A39:A40"/>
    <mergeCell ref="C39:C40"/>
    <mergeCell ref="D39:D40"/>
    <mergeCell ref="E39:E40"/>
    <mergeCell ref="G39:G40"/>
    <mergeCell ref="H39:H40"/>
    <mergeCell ref="DB37:DB38"/>
    <mergeCell ref="DD37:DD38"/>
    <mergeCell ref="DE37:DE38"/>
    <mergeCell ref="DG37:DG38"/>
    <mergeCell ref="DI37:DI38"/>
    <mergeCell ref="DJ37:DJ38"/>
    <mergeCell ref="CR37:CR38"/>
    <mergeCell ref="CT37:CT38"/>
    <mergeCell ref="CU37:CU38"/>
    <mergeCell ref="CW37:CW38"/>
    <mergeCell ref="CY37:CY38"/>
    <mergeCell ref="CZ37:CZ38"/>
    <mergeCell ref="CH37:CH38"/>
    <mergeCell ref="CJ37:CJ38"/>
    <mergeCell ref="CK37:CK38"/>
    <mergeCell ref="CM37:CM38"/>
    <mergeCell ref="CO37:CO38"/>
    <mergeCell ref="CP37:CP38"/>
    <mergeCell ref="BX37:BX38"/>
    <mergeCell ref="BZ37:BZ38"/>
    <mergeCell ref="CA37:CA38"/>
    <mergeCell ref="CC37:CC38"/>
    <mergeCell ref="CE37:CE38"/>
    <mergeCell ref="CF37:CF38"/>
    <mergeCell ref="BN37:BN38"/>
    <mergeCell ref="BP37:BP38"/>
    <mergeCell ref="BQ37:BQ38"/>
    <mergeCell ref="BS37:BS38"/>
    <mergeCell ref="BU37:BU38"/>
    <mergeCell ref="BV37:BV38"/>
    <mergeCell ref="BD37:BD38"/>
    <mergeCell ref="BF37:BF38"/>
    <mergeCell ref="BG37:BG38"/>
    <mergeCell ref="BI37:BI38"/>
    <mergeCell ref="BK37:BK38"/>
    <mergeCell ref="BL37:BL38"/>
    <mergeCell ref="AT37:AT38"/>
    <mergeCell ref="AV37:AV38"/>
    <mergeCell ref="AW37:AW38"/>
    <mergeCell ref="AY37:AY38"/>
    <mergeCell ref="BA37:BA38"/>
    <mergeCell ref="BB37:BB38"/>
    <mergeCell ref="AJ37:AJ38"/>
    <mergeCell ref="AL37:AL38"/>
    <mergeCell ref="AM37:AM38"/>
    <mergeCell ref="AO37:AO38"/>
    <mergeCell ref="AQ37:AQ38"/>
    <mergeCell ref="AR37:AR38"/>
    <mergeCell ref="AA37:AA38"/>
    <mergeCell ref="AC37:AC38"/>
    <mergeCell ref="AD37:AD38"/>
    <mergeCell ref="AE37:AE38"/>
    <mergeCell ref="AG37:AG38"/>
    <mergeCell ref="AH37:AH38"/>
    <mergeCell ref="R37:R38"/>
    <mergeCell ref="T37:T38"/>
    <mergeCell ref="U37:U38"/>
    <mergeCell ref="V37:V38"/>
    <mergeCell ref="X37:X38"/>
    <mergeCell ref="Y37:Y38"/>
    <mergeCell ref="I37:I38"/>
    <mergeCell ref="K37:K38"/>
    <mergeCell ref="L37:L38"/>
    <mergeCell ref="M37:M38"/>
    <mergeCell ref="O37:O38"/>
    <mergeCell ref="P37:P38"/>
    <mergeCell ref="A37:A38"/>
    <mergeCell ref="C37:C38"/>
    <mergeCell ref="D37:D38"/>
    <mergeCell ref="E37:E38"/>
    <mergeCell ref="G37:G38"/>
    <mergeCell ref="H37:H38"/>
    <mergeCell ref="DB35:DB36"/>
    <mergeCell ref="DD35:DD36"/>
    <mergeCell ref="DE35:DE36"/>
    <mergeCell ref="DG35:DG36"/>
    <mergeCell ref="DI35:DI36"/>
    <mergeCell ref="DJ35:DJ36"/>
    <mergeCell ref="CR35:CR36"/>
    <mergeCell ref="CT35:CT36"/>
    <mergeCell ref="CU35:CU36"/>
    <mergeCell ref="CW35:CW36"/>
    <mergeCell ref="CY35:CY36"/>
    <mergeCell ref="CZ35:CZ36"/>
    <mergeCell ref="CH35:CH36"/>
    <mergeCell ref="CJ35:CJ36"/>
    <mergeCell ref="CK35:CK36"/>
    <mergeCell ref="CM35:CM36"/>
    <mergeCell ref="CO35:CO36"/>
    <mergeCell ref="CP35:CP36"/>
    <mergeCell ref="BX35:BX36"/>
    <mergeCell ref="BZ35:BZ36"/>
    <mergeCell ref="CA35:CA36"/>
    <mergeCell ref="CC35:CC36"/>
    <mergeCell ref="CE35:CE36"/>
    <mergeCell ref="CF35:CF36"/>
    <mergeCell ref="BN35:BN36"/>
    <mergeCell ref="BP35:BP36"/>
    <mergeCell ref="BQ35:BQ36"/>
    <mergeCell ref="BS35:BS36"/>
    <mergeCell ref="BU35:BU36"/>
    <mergeCell ref="BV35:BV36"/>
    <mergeCell ref="BD35:BD36"/>
    <mergeCell ref="BF35:BF36"/>
    <mergeCell ref="BG35:BG36"/>
    <mergeCell ref="BI35:BI36"/>
    <mergeCell ref="BK35:BK36"/>
    <mergeCell ref="BL35:BL36"/>
    <mergeCell ref="AT35:AT36"/>
    <mergeCell ref="AV35:AV36"/>
    <mergeCell ref="AW35:AW36"/>
    <mergeCell ref="AY35:AY36"/>
    <mergeCell ref="BA35:BA36"/>
    <mergeCell ref="BB35:BB36"/>
    <mergeCell ref="AJ35:AJ36"/>
    <mergeCell ref="AL35:AL36"/>
    <mergeCell ref="AM35:AM36"/>
    <mergeCell ref="AO35:AO36"/>
    <mergeCell ref="AQ35:AQ36"/>
    <mergeCell ref="AR35:AR36"/>
    <mergeCell ref="AA35:AA36"/>
    <mergeCell ref="AC35:AC36"/>
    <mergeCell ref="AD35:AD36"/>
    <mergeCell ref="AE35:AE36"/>
    <mergeCell ref="AG35:AG36"/>
    <mergeCell ref="AH35:AH36"/>
    <mergeCell ref="R35:R36"/>
    <mergeCell ref="T35:T36"/>
    <mergeCell ref="U35:U36"/>
    <mergeCell ref="V35:V36"/>
    <mergeCell ref="X35:X36"/>
    <mergeCell ref="Y35:Y36"/>
    <mergeCell ref="I35:I36"/>
    <mergeCell ref="K35:K36"/>
    <mergeCell ref="L35:L36"/>
    <mergeCell ref="M35:M36"/>
    <mergeCell ref="O35:O36"/>
    <mergeCell ref="P35:P36"/>
    <mergeCell ref="A35:A36"/>
    <mergeCell ref="C35:C36"/>
    <mergeCell ref="D35:D36"/>
    <mergeCell ref="E35:E36"/>
    <mergeCell ref="G35:G36"/>
    <mergeCell ref="H35:H36"/>
    <mergeCell ref="DB33:DB34"/>
    <mergeCell ref="DD33:DD34"/>
    <mergeCell ref="DE33:DE34"/>
    <mergeCell ref="DG33:DG34"/>
    <mergeCell ref="DI33:DI34"/>
    <mergeCell ref="DJ33:DJ34"/>
    <mergeCell ref="CR33:CR34"/>
    <mergeCell ref="CT33:CT34"/>
    <mergeCell ref="CU33:CU34"/>
    <mergeCell ref="CW33:CW34"/>
    <mergeCell ref="CY33:CY34"/>
    <mergeCell ref="CZ33:CZ34"/>
    <mergeCell ref="CH33:CH34"/>
    <mergeCell ref="CJ33:CJ34"/>
    <mergeCell ref="CK33:CK34"/>
    <mergeCell ref="CM33:CM34"/>
    <mergeCell ref="CO33:CO34"/>
    <mergeCell ref="CP33:CP34"/>
    <mergeCell ref="BX33:BX34"/>
    <mergeCell ref="BZ33:BZ34"/>
    <mergeCell ref="CA33:CA34"/>
    <mergeCell ref="CC33:CC34"/>
    <mergeCell ref="CE33:CE34"/>
    <mergeCell ref="CF33:CF34"/>
    <mergeCell ref="BN33:BN34"/>
    <mergeCell ref="BP33:BP34"/>
    <mergeCell ref="BQ33:BQ34"/>
    <mergeCell ref="BS33:BS34"/>
    <mergeCell ref="BU33:BU34"/>
    <mergeCell ref="BV33:BV34"/>
    <mergeCell ref="BD33:BD34"/>
    <mergeCell ref="BF33:BF34"/>
    <mergeCell ref="BG33:BG34"/>
    <mergeCell ref="BI33:BI34"/>
    <mergeCell ref="BK33:BK34"/>
    <mergeCell ref="BL33:BL34"/>
    <mergeCell ref="AT33:AT34"/>
    <mergeCell ref="AV33:AV34"/>
    <mergeCell ref="AW33:AW34"/>
    <mergeCell ref="AY33:AY34"/>
    <mergeCell ref="BA33:BA34"/>
    <mergeCell ref="BB33:BB34"/>
    <mergeCell ref="AJ33:AJ34"/>
    <mergeCell ref="AL33:AL34"/>
    <mergeCell ref="AM33:AM34"/>
    <mergeCell ref="AO33:AO34"/>
    <mergeCell ref="AQ33:AQ34"/>
    <mergeCell ref="AR33:AR34"/>
    <mergeCell ref="AA33:AA34"/>
    <mergeCell ref="AC33:AC34"/>
    <mergeCell ref="AD33:AD34"/>
    <mergeCell ref="AE33:AE34"/>
    <mergeCell ref="AG33:AG34"/>
    <mergeCell ref="AH33:AH34"/>
    <mergeCell ref="R33:R34"/>
    <mergeCell ref="T33:T34"/>
    <mergeCell ref="U33:U34"/>
    <mergeCell ref="V33:V34"/>
    <mergeCell ref="X33:X34"/>
    <mergeCell ref="Y33:Y34"/>
    <mergeCell ref="I33:I34"/>
    <mergeCell ref="K33:K34"/>
    <mergeCell ref="L33:L34"/>
    <mergeCell ref="M33:M34"/>
    <mergeCell ref="O33:O34"/>
    <mergeCell ref="P33:P34"/>
    <mergeCell ref="A33:A34"/>
    <mergeCell ref="C33:C34"/>
    <mergeCell ref="D33:D34"/>
    <mergeCell ref="E33:E34"/>
    <mergeCell ref="G33:G34"/>
    <mergeCell ref="H33:H34"/>
    <mergeCell ref="DB31:DB32"/>
    <mergeCell ref="DD31:DD32"/>
    <mergeCell ref="DE31:DE32"/>
    <mergeCell ref="DG31:DG32"/>
    <mergeCell ref="DI31:DI32"/>
    <mergeCell ref="DJ31:DJ32"/>
    <mergeCell ref="CR31:CR32"/>
    <mergeCell ref="CT31:CT32"/>
    <mergeCell ref="CU31:CU32"/>
    <mergeCell ref="CW31:CW32"/>
    <mergeCell ref="CY31:CY32"/>
    <mergeCell ref="CZ31:CZ32"/>
    <mergeCell ref="CH31:CH32"/>
    <mergeCell ref="CJ31:CJ32"/>
    <mergeCell ref="CK31:CK32"/>
    <mergeCell ref="CM31:CM32"/>
    <mergeCell ref="CO31:CO32"/>
    <mergeCell ref="CP31:CP32"/>
    <mergeCell ref="BX31:BX32"/>
    <mergeCell ref="BZ31:BZ32"/>
    <mergeCell ref="CA31:CA32"/>
    <mergeCell ref="CC31:CC32"/>
    <mergeCell ref="CE31:CE32"/>
    <mergeCell ref="CF31:CF32"/>
    <mergeCell ref="BN31:BN32"/>
    <mergeCell ref="BP31:BP32"/>
    <mergeCell ref="BQ31:BQ32"/>
    <mergeCell ref="BS31:BS32"/>
    <mergeCell ref="BU31:BU32"/>
    <mergeCell ref="BV31:BV32"/>
    <mergeCell ref="BD31:BD32"/>
    <mergeCell ref="BF31:BF32"/>
    <mergeCell ref="BG31:BG32"/>
    <mergeCell ref="BI31:BI32"/>
    <mergeCell ref="BK31:BK32"/>
    <mergeCell ref="BL31:BL32"/>
    <mergeCell ref="AT31:AT32"/>
    <mergeCell ref="AV31:AV32"/>
    <mergeCell ref="AW31:AW32"/>
    <mergeCell ref="AY31:AY32"/>
    <mergeCell ref="BA31:BA32"/>
    <mergeCell ref="BB31:BB32"/>
    <mergeCell ref="AJ31:AJ32"/>
    <mergeCell ref="AL31:AL32"/>
    <mergeCell ref="AM31:AM32"/>
    <mergeCell ref="AO31:AO32"/>
    <mergeCell ref="AQ31:AQ32"/>
    <mergeCell ref="AR31:AR32"/>
    <mergeCell ref="AA31:AA32"/>
    <mergeCell ref="AC31:AC32"/>
    <mergeCell ref="AD31:AD32"/>
    <mergeCell ref="AE31:AE32"/>
    <mergeCell ref="AG31:AG32"/>
    <mergeCell ref="AH31:AH32"/>
    <mergeCell ref="R31:R32"/>
    <mergeCell ref="T31:T32"/>
    <mergeCell ref="U31:U32"/>
    <mergeCell ref="V31:V32"/>
    <mergeCell ref="X31:X32"/>
    <mergeCell ref="Y31:Y32"/>
    <mergeCell ref="I31:I32"/>
    <mergeCell ref="K31:K32"/>
    <mergeCell ref="L31:L32"/>
    <mergeCell ref="M31:M32"/>
    <mergeCell ref="O31:O32"/>
    <mergeCell ref="P31:P32"/>
    <mergeCell ref="A31:A32"/>
    <mergeCell ref="C31:C32"/>
    <mergeCell ref="D31:D32"/>
    <mergeCell ref="E31:E32"/>
    <mergeCell ref="G31:G32"/>
    <mergeCell ref="H31:H32"/>
    <mergeCell ref="DB29:DB30"/>
    <mergeCell ref="DD29:DD30"/>
    <mergeCell ref="DE29:DE30"/>
    <mergeCell ref="DG29:DG30"/>
    <mergeCell ref="DI29:DI30"/>
    <mergeCell ref="DJ29:DJ30"/>
    <mergeCell ref="CR29:CR30"/>
    <mergeCell ref="CT29:CT30"/>
    <mergeCell ref="CU29:CU30"/>
    <mergeCell ref="CW29:CW30"/>
    <mergeCell ref="CY29:CY30"/>
    <mergeCell ref="CZ29:CZ30"/>
    <mergeCell ref="CH29:CH30"/>
    <mergeCell ref="CJ29:CJ30"/>
    <mergeCell ref="CK29:CK30"/>
    <mergeCell ref="CM29:CM30"/>
    <mergeCell ref="CO29:CO30"/>
    <mergeCell ref="CP29:CP30"/>
    <mergeCell ref="BX29:BX30"/>
    <mergeCell ref="BZ29:BZ30"/>
    <mergeCell ref="CA29:CA30"/>
    <mergeCell ref="CC29:CC30"/>
    <mergeCell ref="CE29:CE30"/>
    <mergeCell ref="CF29:CF30"/>
    <mergeCell ref="BN29:BN30"/>
    <mergeCell ref="BP29:BP30"/>
    <mergeCell ref="BQ29:BQ30"/>
    <mergeCell ref="BS29:BS30"/>
    <mergeCell ref="BU29:BU30"/>
    <mergeCell ref="BV29:BV30"/>
    <mergeCell ref="BD29:BD30"/>
    <mergeCell ref="BF29:BF30"/>
    <mergeCell ref="BG29:BG30"/>
    <mergeCell ref="BI29:BI30"/>
    <mergeCell ref="BK29:BK30"/>
    <mergeCell ref="BL29:BL30"/>
    <mergeCell ref="AT29:AT30"/>
    <mergeCell ref="AV29:AV30"/>
    <mergeCell ref="AW29:AW30"/>
    <mergeCell ref="AY29:AY30"/>
    <mergeCell ref="BA29:BA30"/>
    <mergeCell ref="BB29:BB30"/>
    <mergeCell ref="AJ29:AJ30"/>
    <mergeCell ref="AL29:AL30"/>
    <mergeCell ref="AM29:AM30"/>
    <mergeCell ref="AO29:AO30"/>
    <mergeCell ref="AQ29:AQ30"/>
    <mergeCell ref="AR29:AR30"/>
    <mergeCell ref="AA29:AA30"/>
    <mergeCell ref="AC29:AC30"/>
    <mergeCell ref="AD29:AD30"/>
    <mergeCell ref="AE29:AE30"/>
    <mergeCell ref="AG29:AG30"/>
    <mergeCell ref="AH29:AH30"/>
    <mergeCell ref="R29:R30"/>
    <mergeCell ref="T29:T30"/>
    <mergeCell ref="U29:U30"/>
    <mergeCell ref="V29:V30"/>
    <mergeCell ref="X29:X30"/>
    <mergeCell ref="Y29:Y30"/>
    <mergeCell ref="I29:I30"/>
    <mergeCell ref="K29:K30"/>
    <mergeCell ref="L29:L30"/>
    <mergeCell ref="M29:M30"/>
    <mergeCell ref="O29:O30"/>
    <mergeCell ref="P29:P30"/>
    <mergeCell ref="A29:A30"/>
    <mergeCell ref="C29:C30"/>
    <mergeCell ref="D29:D30"/>
    <mergeCell ref="E29:E30"/>
    <mergeCell ref="G29:G30"/>
    <mergeCell ref="H29:H30"/>
    <mergeCell ref="DB27:DB28"/>
    <mergeCell ref="DD27:DD28"/>
    <mergeCell ref="DE27:DE28"/>
    <mergeCell ref="DG27:DG28"/>
    <mergeCell ref="DI27:DI28"/>
    <mergeCell ref="DJ27:DJ28"/>
    <mergeCell ref="CR27:CR28"/>
    <mergeCell ref="CT27:CT28"/>
    <mergeCell ref="CU27:CU28"/>
    <mergeCell ref="CW27:CW28"/>
    <mergeCell ref="CY27:CY28"/>
    <mergeCell ref="CZ27:CZ28"/>
    <mergeCell ref="CH27:CH28"/>
    <mergeCell ref="CJ27:CJ28"/>
    <mergeCell ref="CK27:CK28"/>
    <mergeCell ref="CM27:CM28"/>
    <mergeCell ref="CO27:CO28"/>
    <mergeCell ref="CP27:CP28"/>
    <mergeCell ref="BX27:BX28"/>
    <mergeCell ref="BZ27:BZ28"/>
    <mergeCell ref="CA27:CA28"/>
    <mergeCell ref="CC27:CC28"/>
    <mergeCell ref="CE27:CE28"/>
    <mergeCell ref="CF27:CF28"/>
    <mergeCell ref="BN27:BN28"/>
    <mergeCell ref="BP27:BP28"/>
    <mergeCell ref="BQ27:BQ28"/>
    <mergeCell ref="BS27:BS28"/>
    <mergeCell ref="BU27:BU28"/>
    <mergeCell ref="BV27:BV28"/>
    <mergeCell ref="BD27:BD28"/>
    <mergeCell ref="BF27:BF28"/>
    <mergeCell ref="BG27:BG28"/>
    <mergeCell ref="BI27:BI28"/>
    <mergeCell ref="BK27:BK28"/>
    <mergeCell ref="BL27:BL28"/>
    <mergeCell ref="AT27:AT28"/>
    <mergeCell ref="AV27:AV28"/>
    <mergeCell ref="AW27:AW28"/>
    <mergeCell ref="AY27:AY28"/>
    <mergeCell ref="BA27:BA28"/>
    <mergeCell ref="BB27:BB28"/>
    <mergeCell ref="AJ27:AJ28"/>
    <mergeCell ref="AL27:AL28"/>
    <mergeCell ref="AM27:AM28"/>
    <mergeCell ref="AO27:AO28"/>
    <mergeCell ref="AQ27:AQ28"/>
    <mergeCell ref="AR27:AR28"/>
    <mergeCell ref="AA27:AA28"/>
    <mergeCell ref="AC27:AC28"/>
    <mergeCell ref="AD27:AD28"/>
    <mergeCell ref="AE27:AE28"/>
    <mergeCell ref="AG27:AG28"/>
    <mergeCell ref="AH27:AH28"/>
    <mergeCell ref="R27:R28"/>
    <mergeCell ref="T27:T28"/>
    <mergeCell ref="U27:U28"/>
    <mergeCell ref="V27:V28"/>
    <mergeCell ref="X27:X28"/>
    <mergeCell ref="Y27:Y28"/>
    <mergeCell ref="I27:I28"/>
    <mergeCell ref="K27:K28"/>
    <mergeCell ref="L27:L28"/>
    <mergeCell ref="M27:M28"/>
    <mergeCell ref="O27:O28"/>
    <mergeCell ref="P27:P28"/>
    <mergeCell ref="A27:A28"/>
    <mergeCell ref="C27:C28"/>
    <mergeCell ref="D27:D28"/>
    <mergeCell ref="E27:E28"/>
    <mergeCell ref="G27:G28"/>
    <mergeCell ref="H27:H28"/>
    <mergeCell ref="DB25:DB26"/>
    <mergeCell ref="DD25:DD26"/>
    <mergeCell ref="DE25:DE26"/>
    <mergeCell ref="DG25:DG26"/>
    <mergeCell ref="DI25:DI26"/>
    <mergeCell ref="DJ25:DJ26"/>
    <mergeCell ref="CR25:CR26"/>
    <mergeCell ref="CT25:CT26"/>
    <mergeCell ref="CU25:CU26"/>
    <mergeCell ref="CW25:CW26"/>
    <mergeCell ref="CY25:CY26"/>
    <mergeCell ref="CZ25:CZ26"/>
    <mergeCell ref="CH25:CH26"/>
    <mergeCell ref="CJ25:CJ26"/>
    <mergeCell ref="CK25:CK26"/>
    <mergeCell ref="CM25:CM26"/>
    <mergeCell ref="CO25:CO26"/>
    <mergeCell ref="CP25:CP26"/>
    <mergeCell ref="BX25:BX26"/>
    <mergeCell ref="BZ25:BZ26"/>
    <mergeCell ref="CA25:CA26"/>
    <mergeCell ref="CC25:CC26"/>
    <mergeCell ref="CE25:CE26"/>
    <mergeCell ref="CF25:CF26"/>
    <mergeCell ref="BN25:BN26"/>
    <mergeCell ref="BP25:BP26"/>
    <mergeCell ref="BQ25:BQ26"/>
    <mergeCell ref="BS25:BS26"/>
    <mergeCell ref="BU25:BU26"/>
    <mergeCell ref="BV25:BV26"/>
    <mergeCell ref="BD25:BD26"/>
    <mergeCell ref="BF25:BF26"/>
    <mergeCell ref="BG25:BG26"/>
    <mergeCell ref="BI25:BI26"/>
    <mergeCell ref="BK25:BK26"/>
    <mergeCell ref="BL25:BL26"/>
    <mergeCell ref="AT25:AT26"/>
    <mergeCell ref="AV25:AV26"/>
    <mergeCell ref="AW25:AW26"/>
    <mergeCell ref="AY25:AY26"/>
    <mergeCell ref="BA25:BA26"/>
    <mergeCell ref="BB25:BB26"/>
    <mergeCell ref="AJ25:AJ26"/>
    <mergeCell ref="AL25:AL26"/>
    <mergeCell ref="AM25:AM26"/>
    <mergeCell ref="AO25:AO26"/>
    <mergeCell ref="AQ25:AQ26"/>
    <mergeCell ref="AR25:AR26"/>
    <mergeCell ref="AA25:AA26"/>
    <mergeCell ref="AC25:AC26"/>
    <mergeCell ref="AD25:AD26"/>
    <mergeCell ref="AE25:AE26"/>
    <mergeCell ref="AG25:AG26"/>
    <mergeCell ref="AH25:AH26"/>
    <mergeCell ref="R25:R26"/>
    <mergeCell ref="T25:T26"/>
    <mergeCell ref="U25:U26"/>
    <mergeCell ref="V25:V26"/>
    <mergeCell ref="X25:X26"/>
    <mergeCell ref="Y25:Y26"/>
    <mergeCell ref="I25:I26"/>
    <mergeCell ref="K25:K26"/>
    <mergeCell ref="L25:L26"/>
    <mergeCell ref="M25:M26"/>
    <mergeCell ref="O25:O26"/>
    <mergeCell ref="P25:P26"/>
    <mergeCell ref="A25:A26"/>
    <mergeCell ref="C25:C26"/>
    <mergeCell ref="D25:D26"/>
    <mergeCell ref="E25:E26"/>
    <mergeCell ref="G25:G26"/>
    <mergeCell ref="H25:H26"/>
    <mergeCell ref="DB23:DB24"/>
    <mergeCell ref="DD23:DD24"/>
    <mergeCell ref="DE23:DE24"/>
    <mergeCell ref="DG23:DG24"/>
    <mergeCell ref="DI23:DI24"/>
    <mergeCell ref="DJ23:DJ24"/>
    <mergeCell ref="CR23:CR24"/>
    <mergeCell ref="CT23:CT24"/>
    <mergeCell ref="CU23:CU24"/>
    <mergeCell ref="CW23:CW24"/>
    <mergeCell ref="CY23:CY24"/>
    <mergeCell ref="CZ23:CZ24"/>
    <mergeCell ref="CH23:CH24"/>
    <mergeCell ref="CJ23:CJ24"/>
    <mergeCell ref="CK23:CK24"/>
    <mergeCell ref="CM23:CM24"/>
    <mergeCell ref="CO23:CO24"/>
    <mergeCell ref="CP23:CP24"/>
    <mergeCell ref="BX23:BX24"/>
    <mergeCell ref="BZ23:BZ24"/>
    <mergeCell ref="CA23:CA24"/>
    <mergeCell ref="CC23:CC24"/>
    <mergeCell ref="CE23:CE24"/>
    <mergeCell ref="CF23:CF24"/>
    <mergeCell ref="BN23:BN24"/>
    <mergeCell ref="BP23:BP24"/>
    <mergeCell ref="BQ23:BQ24"/>
    <mergeCell ref="BS23:BS24"/>
    <mergeCell ref="BU23:BU24"/>
    <mergeCell ref="BV23:BV24"/>
    <mergeCell ref="BD23:BD24"/>
    <mergeCell ref="BF23:BF24"/>
    <mergeCell ref="BG23:BG24"/>
    <mergeCell ref="BI23:BI24"/>
    <mergeCell ref="BK23:BK24"/>
    <mergeCell ref="BL23:BL24"/>
    <mergeCell ref="AT23:AT24"/>
    <mergeCell ref="AV23:AV24"/>
    <mergeCell ref="AW23:AW24"/>
    <mergeCell ref="AY23:AY24"/>
    <mergeCell ref="BA23:BA24"/>
    <mergeCell ref="BB23:BB24"/>
    <mergeCell ref="AJ23:AJ24"/>
    <mergeCell ref="AL23:AL24"/>
    <mergeCell ref="AM23:AM24"/>
    <mergeCell ref="AO23:AO24"/>
    <mergeCell ref="AQ23:AQ24"/>
    <mergeCell ref="AR23:AR24"/>
    <mergeCell ref="AA23:AA24"/>
    <mergeCell ref="AC23:AC24"/>
    <mergeCell ref="AD23:AD24"/>
    <mergeCell ref="AE23:AE24"/>
    <mergeCell ref="AG23:AG24"/>
    <mergeCell ref="AH23:AH24"/>
    <mergeCell ref="R23:R24"/>
    <mergeCell ref="T23:T24"/>
    <mergeCell ref="U23:U24"/>
    <mergeCell ref="V23:V24"/>
    <mergeCell ref="X23:X24"/>
    <mergeCell ref="Y23:Y24"/>
    <mergeCell ref="I23:I24"/>
    <mergeCell ref="K23:K24"/>
    <mergeCell ref="L23:L24"/>
    <mergeCell ref="M23:M24"/>
    <mergeCell ref="O23:O24"/>
    <mergeCell ref="P23:P24"/>
    <mergeCell ref="A23:A24"/>
    <mergeCell ref="C23:C24"/>
    <mergeCell ref="D23:D24"/>
    <mergeCell ref="E23:E24"/>
    <mergeCell ref="G23:G24"/>
    <mergeCell ref="H23:H24"/>
    <mergeCell ref="DB21:DB22"/>
    <mergeCell ref="DD21:DD22"/>
    <mergeCell ref="DE21:DE22"/>
    <mergeCell ref="DG21:DG22"/>
    <mergeCell ref="DI21:DI22"/>
    <mergeCell ref="DJ21:DJ22"/>
    <mergeCell ref="CR21:CR22"/>
    <mergeCell ref="CT21:CT22"/>
    <mergeCell ref="CU21:CU22"/>
    <mergeCell ref="CW21:CW22"/>
    <mergeCell ref="CY21:CY22"/>
    <mergeCell ref="CZ21:CZ22"/>
    <mergeCell ref="CH21:CH22"/>
    <mergeCell ref="CJ21:CJ22"/>
    <mergeCell ref="CK21:CK22"/>
    <mergeCell ref="CM21:CM22"/>
    <mergeCell ref="CO21:CO22"/>
    <mergeCell ref="CP21:CP22"/>
    <mergeCell ref="BX21:BX22"/>
    <mergeCell ref="BZ21:BZ22"/>
    <mergeCell ref="CA21:CA22"/>
    <mergeCell ref="CC21:CC22"/>
    <mergeCell ref="CE21:CE22"/>
    <mergeCell ref="CF21:CF22"/>
    <mergeCell ref="BN21:BN22"/>
    <mergeCell ref="BP21:BP22"/>
    <mergeCell ref="BQ21:BQ22"/>
    <mergeCell ref="BS21:BS22"/>
    <mergeCell ref="BU21:BU22"/>
    <mergeCell ref="BV21:BV22"/>
    <mergeCell ref="BD21:BD22"/>
    <mergeCell ref="BF21:BF22"/>
    <mergeCell ref="BG21:BG22"/>
    <mergeCell ref="BI21:BI22"/>
    <mergeCell ref="BK21:BK22"/>
    <mergeCell ref="BL21:BL22"/>
    <mergeCell ref="AT21:AT22"/>
    <mergeCell ref="AV21:AV22"/>
    <mergeCell ref="AW21:AW22"/>
    <mergeCell ref="AY21:AY22"/>
    <mergeCell ref="BA21:BA22"/>
    <mergeCell ref="BB21:BB22"/>
    <mergeCell ref="AJ21:AJ22"/>
    <mergeCell ref="AL21:AL22"/>
    <mergeCell ref="AM21:AM22"/>
    <mergeCell ref="AO21:AO22"/>
    <mergeCell ref="AQ21:AQ22"/>
    <mergeCell ref="AR21:AR22"/>
    <mergeCell ref="AA21:AA22"/>
    <mergeCell ref="AC21:AC22"/>
    <mergeCell ref="AD21:AD22"/>
    <mergeCell ref="AE21:AE22"/>
    <mergeCell ref="AG21:AG22"/>
    <mergeCell ref="AH21:AH22"/>
    <mergeCell ref="R21:R22"/>
    <mergeCell ref="T21:T22"/>
    <mergeCell ref="U21:U22"/>
    <mergeCell ref="V21:V22"/>
    <mergeCell ref="X21:X22"/>
    <mergeCell ref="Y21:Y22"/>
    <mergeCell ref="I21:I22"/>
    <mergeCell ref="K21:K22"/>
    <mergeCell ref="L21:L22"/>
    <mergeCell ref="M21:M22"/>
    <mergeCell ref="O21:O22"/>
    <mergeCell ref="P21:P22"/>
    <mergeCell ref="A21:A22"/>
    <mergeCell ref="C21:C22"/>
    <mergeCell ref="D21:D22"/>
    <mergeCell ref="E21:E22"/>
    <mergeCell ref="G21:G22"/>
    <mergeCell ref="H21:H22"/>
    <mergeCell ref="DB19:DB20"/>
    <mergeCell ref="DD19:DD20"/>
    <mergeCell ref="DE19:DE20"/>
    <mergeCell ref="DG19:DG20"/>
    <mergeCell ref="DI19:DI20"/>
    <mergeCell ref="DJ19:DJ20"/>
    <mergeCell ref="CR19:CR20"/>
    <mergeCell ref="CT19:CT20"/>
    <mergeCell ref="CU19:CU20"/>
    <mergeCell ref="CW19:CW20"/>
    <mergeCell ref="CY19:CY20"/>
    <mergeCell ref="CZ19:CZ20"/>
    <mergeCell ref="CH19:CH20"/>
    <mergeCell ref="CJ19:CJ20"/>
    <mergeCell ref="CK19:CK20"/>
    <mergeCell ref="CM19:CM20"/>
    <mergeCell ref="CO19:CO20"/>
    <mergeCell ref="CP19:CP20"/>
    <mergeCell ref="BX19:BX20"/>
    <mergeCell ref="BZ19:BZ20"/>
    <mergeCell ref="CA19:CA20"/>
    <mergeCell ref="CC19:CC20"/>
    <mergeCell ref="CE19:CE20"/>
    <mergeCell ref="CF19:CF20"/>
    <mergeCell ref="BN19:BN20"/>
    <mergeCell ref="BP19:BP20"/>
    <mergeCell ref="BQ19:BQ20"/>
    <mergeCell ref="BS19:BS20"/>
    <mergeCell ref="BU19:BU20"/>
    <mergeCell ref="BV19:BV20"/>
    <mergeCell ref="BD19:BD20"/>
    <mergeCell ref="BF19:BF20"/>
    <mergeCell ref="BG19:BG20"/>
    <mergeCell ref="BI19:BI20"/>
    <mergeCell ref="BK19:BK20"/>
    <mergeCell ref="BL19:BL20"/>
    <mergeCell ref="AT19:AT20"/>
    <mergeCell ref="AV19:AV20"/>
    <mergeCell ref="AW19:AW20"/>
    <mergeCell ref="AY19:AY20"/>
    <mergeCell ref="BA19:BA20"/>
    <mergeCell ref="BB19:BB20"/>
    <mergeCell ref="AJ19:AJ20"/>
    <mergeCell ref="AL19:AL20"/>
    <mergeCell ref="AM19:AM20"/>
    <mergeCell ref="AO19:AO20"/>
    <mergeCell ref="AQ19:AQ20"/>
    <mergeCell ref="AR19:AR20"/>
    <mergeCell ref="AA19:AA20"/>
    <mergeCell ref="AC19:AC20"/>
    <mergeCell ref="AD19:AD20"/>
    <mergeCell ref="AE19:AE20"/>
    <mergeCell ref="AG19:AG20"/>
    <mergeCell ref="AH19:AH20"/>
    <mergeCell ref="R19:R20"/>
    <mergeCell ref="T19:T20"/>
    <mergeCell ref="U19:U20"/>
    <mergeCell ref="V19:V20"/>
    <mergeCell ref="X19:X20"/>
    <mergeCell ref="Y19:Y20"/>
    <mergeCell ref="I19:I20"/>
    <mergeCell ref="K19:K20"/>
    <mergeCell ref="L19:L20"/>
    <mergeCell ref="M19:M20"/>
    <mergeCell ref="O19:O20"/>
    <mergeCell ref="P19:P20"/>
    <mergeCell ref="A19:A20"/>
    <mergeCell ref="C19:C20"/>
    <mergeCell ref="D19:D20"/>
    <mergeCell ref="E19:E20"/>
    <mergeCell ref="G19:G20"/>
    <mergeCell ref="H19:H20"/>
    <mergeCell ref="DB17:DB18"/>
    <mergeCell ref="DD17:DD18"/>
    <mergeCell ref="DE17:DE18"/>
    <mergeCell ref="DG17:DG18"/>
    <mergeCell ref="DI17:DI18"/>
    <mergeCell ref="DJ17:DJ18"/>
    <mergeCell ref="CR17:CR18"/>
    <mergeCell ref="CT17:CT18"/>
    <mergeCell ref="CU17:CU18"/>
    <mergeCell ref="CW17:CW18"/>
    <mergeCell ref="CY17:CY18"/>
    <mergeCell ref="CZ17:CZ18"/>
    <mergeCell ref="CH17:CH18"/>
    <mergeCell ref="CJ17:CJ18"/>
    <mergeCell ref="CK17:CK18"/>
    <mergeCell ref="CM17:CM18"/>
    <mergeCell ref="CO17:CO18"/>
    <mergeCell ref="CP17:CP18"/>
    <mergeCell ref="BX17:BX18"/>
    <mergeCell ref="BZ17:BZ18"/>
    <mergeCell ref="CA17:CA18"/>
    <mergeCell ref="CC17:CC18"/>
    <mergeCell ref="CE17:CE18"/>
    <mergeCell ref="CF17:CF18"/>
    <mergeCell ref="BN17:BN18"/>
    <mergeCell ref="BP17:BP18"/>
    <mergeCell ref="BQ17:BQ18"/>
    <mergeCell ref="BS17:BS18"/>
    <mergeCell ref="BU17:BU18"/>
    <mergeCell ref="BV17:BV18"/>
    <mergeCell ref="BD17:BD18"/>
    <mergeCell ref="BF17:BF18"/>
    <mergeCell ref="BG17:BG18"/>
    <mergeCell ref="BI17:BI18"/>
    <mergeCell ref="BK17:BK18"/>
    <mergeCell ref="BL17:BL18"/>
    <mergeCell ref="AT17:AT18"/>
    <mergeCell ref="AV17:AV18"/>
    <mergeCell ref="AW17:AW18"/>
    <mergeCell ref="AY17:AY18"/>
    <mergeCell ref="BA17:BA18"/>
    <mergeCell ref="BB17:BB18"/>
    <mergeCell ref="AJ17:AJ18"/>
    <mergeCell ref="AL17:AL18"/>
    <mergeCell ref="AM17:AM18"/>
    <mergeCell ref="AO17:AO18"/>
    <mergeCell ref="AQ17:AQ18"/>
    <mergeCell ref="AR17:AR18"/>
    <mergeCell ref="AA17:AA18"/>
    <mergeCell ref="AC17:AC18"/>
    <mergeCell ref="AD17:AD18"/>
    <mergeCell ref="AE17:AE18"/>
    <mergeCell ref="AG17:AG18"/>
    <mergeCell ref="AH17:AH18"/>
    <mergeCell ref="R17:R18"/>
    <mergeCell ref="T17:T18"/>
    <mergeCell ref="U17:U18"/>
    <mergeCell ref="V17:V18"/>
    <mergeCell ref="X17:X18"/>
    <mergeCell ref="Y17:Y18"/>
    <mergeCell ref="I17:I18"/>
    <mergeCell ref="K17:K18"/>
    <mergeCell ref="L17:L18"/>
    <mergeCell ref="M17:M18"/>
    <mergeCell ref="O17:O18"/>
    <mergeCell ref="P17:P18"/>
    <mergeCell ref="A17:A18"/>
    <mergeCell ref="C17:C18"/>
    <mergeCell ref="D17:D18"/>
    <mergeCell ref="E17:E18"/>
    <mergeCell ref="G17:G18"/>
    <mergeCell ref="H17:H18"/>
    <mergeCell ref="DB15:DB16"/>
    <mergeCell ref="DD15:DD16"/>
    <mergeCell ref="DE15:DE16"/>
    <mergeCell ref="DG15:DG16"/>
    <mergeCell ref="DI15:DI16"/>
    <mergeCell ref="DJ15:DJ16"/>
    <mergeCell ref="CR15:CR16"/>
    <mergeCell ref="CT15:CT16"/>
    <mergeCell ref="CU15:CU16"/>
    <mergeCell ref="CW15:CW16"/>
    <mergeCell ref="CY15:CY16"/>
    <mergeCell ref="CZ15:CZ16"/>
    <mergeCell ref="CH15:CH16"/>
    <mergeCell ref="CJ15:CJ16"/>
    <mergeCell ref="CK15:CK16"/>
    <mergeCell ref="CM15:CM16"/>
    <mergeCell ref="CO15:CO16"/>
    <mergeCell ref="CP15:CP16"/>
    <mergeCell ref="BX15:BX16"/>
    <mergeCell ref="BZ15:BZ16"/>
    <mergeCell ref="CA15:CA16"/>
    <mergeCell ref="CC15:CC16"/>
    <mergeCell ref="CE15:CE16"/>
    <mergeCell ref="CF15:CF16"/>
    <mergeCell ref="BN15:BN16"/>
    <mergeCell ref="BP15:BP16"/>
    <mergeCell ref="BQ15:BQ16"/>
    <mergeCell ref="BS15:BS16"/>
    <mergeCell ref="BU15:BU16"/>
    <mergeCell ref="BV15:BV16"/>
    <mergeCell ref="BD15:BD16"/>
    <mergeCell ref="BF15:BF16"/>
    <mergeCell ref="BG15:BG16"/>
    <mergeCell ref="BI15:BI16"/>
    <mergeCell ref="BK15:BK16"/>
    <mergeCell ref="BL15:BL16"/>
    <mergeCell ref="AT15:AT16"/>
    <mergeCell ref="AV15:AV16"/>
    <mergeCell ref="AW15:AW16"/>
    <mergeCell ref="AY15:AY16"/>
    <mergeCell ref="BA15:BA16"/>
    <mergeCell ref="BB15:BB16"/>
    <mergeCell ref="AJ15:AJ16"/>
    <mergeCell ref="AL15:AL16"/>
    <mergeCell ref="AM15:AM16"/>
    <mergeCell ref="AO15:AO16"/>
    <mergeCell ref="AQ15:AQ16"/>
    <mergeCell ref="AR15:AR16"/>
    <mergeCell ref="AA15:AA16"/>
    <mergeCell ref="AC15:AC16"/>
    <mergeCell ref="AD15:AD16"/>
    <mergeCell ref="AE15:AE16"/>
    <mergeCell ref="AG15:AG16"/>
    <mergeCell ref="AH15:AH16"/>
    <mergeCell ref="R15:R16"/>
    <mergeCell ref="T15:T16"/>
    <mergeCell ref="U15:U16"/>
    <mergeCell ref="V15:V16"/>
    <mergeCell ref="X15:X16"/>
    <mergeCell ref="Y15:Y16"/>
    <mergeCell ref="I15:I16"/>
    <mergeCell ref="K15:K16"/>
    <mergeCell ref="L15:L16"/>
    <mergeCell ref="M15:M16"/>
    <mergeCell ref="O15:O16"/>
    <mergeCell ref="P15:P16"/>
    <mergeCell ref="A15:A16"/>
    <mergeCell ref="C15:C16"/>
    <mergeCell ref="D15:D16"/>
    <mergeCell ref="E15:E16"/>
    <mergeCell ref="G15:G16"/>
    <mergeCell ref="H15:H16"/>
    <mergeCell ref="DB13:DB14"/>
    <mergeCell ref="DD13:DD14"/>
    <mergeCell ref="DE13:DE14"/>
    <mergeCell ref="DG13:DG14"/>
    <mergeCell ref="DI13:DI14"/>
    <mergeCell ref="DJ13:DJ14"/>
    <mergeCell ref="CR13:CR14"/>
    <mergeCell ref="CT13:CT14"/>
    <mergeCell ref="CU13:CU14"/>
    <mergeCell ref="CW13:CW14"/>
    <mergeCell ref="CY13:CY14"/>
    <mergeCell ref="CZ13:CZ14"/>
    <mergeCell ref="CH13:CH14"/>
    <mergeCell ref="CJ13:CJ14"/>
    <mergeCell ref="CK13:CK14"/>
    <mergeCell ref="CM13:CM14"/>
    <mergeCell ref="CO13:CO14"/>
    <mergeCell ref="CP13:CP14"/>
    <mergeCell ref="BX13:BX14"/>
    <mergeCell ref="BZ13:BZ14"/>
    <mergeCell ref="CA13:CA14"/>
    <mergeCell ref="CC13:CC14"/>
    <mergeCell ref="CE13:CE14"/>
    <mergeCell ref="CF13:CF14"/>
    <mergeCell ref="BN13:BN14"/>
    <mergeCell ref="BP13:BP14"/>
    <mergeCell ref="BQ13:BQ14"/>
    <mergeCell ref="BS13:BS14"/>
    <mergeCell ref="BU13:BU14"/>
    <mergeCell ref="BV13:BV14"/>
    <mergeCell ref="BD13:BD14"/>
    <mergeCell ref="BF13:BF14"/>
    <mergeCell ref="BG13:BG14"/>
    <mergeCell ref="BI13:BI14"/>
    <mergeCell ref="BK13:BK14"/>
    <mergeCell ref="BL13:BL14"/>
    <mergeCell ref="AT13:AT14"/>
    <mergeCell ref="AV13:AV14"/>
    <mergeCell ref="AW13:AW14"/>
    <mergeCell ref="AY13:AY14"/>
    <mergeCell ref="BA13:BA14"/>
    <mergeCell ref="BB13:BB14"/>
    <mergeCell ref="AJ13:AJ14"/>
    <mergeCell ref="AL13:AL14"/>
    <mergeCell ref="AM13:AM14"/>
    <mergeCell ref="AO13:AO14"/>
    <mergeCell ref="AQ13:AQ14"/>
    <mergeCell ref="AR13:AR14"/>
    <mergeCell ref="AA13:AA14"/>
    <mergeCell ref="AC13:AC14"/>
    <mergeCell ref="AD13:AD14"/>
    <mergeCell ref="AE13:AE14"/>
    <mergeCell ref="AG13:AG14"/>
    <mergeCell ref="AH13:AH14"/>
    <mergeCell ref="R13:R14"/>
    <mergeCell ref="T13:T14"/>
    <mergeCell ref="U13:U14"/>
    <mergeCell ref="V13:V14"/>
    <mergeCell ref="X13:X14"/>
    <mergeCell ref="Y13:Y14"/>
    <mergeCell ref="I13:I14"/>
    <mergeCell ref="K13:K14"/>
    <mergeCell ref="L13:L14"/>
    <mergeCell ref="M13:M14"/>
    <mergeCell ref="O13:O14"/>
    <mergeCell ref="P13:P14"/>
    <mergeCell ref="A13:A14"/>
    <mergeCell ref="C13:C14"/>
    <mergeCell ref="D13:D14"/>
    <mergeCell ref="E13:E14"/>
    <mergeCell ref="G13:G14"/>
    <mergeCell ref="H13:H14"/>
    <mergeCell ref="DB11:DB12"/>
    <mergeCell ref="DD11:DD12"/>
    <mergeCell ref="DE11:DE12"/>
    <mergeCell ref="DG11:DG12"/>
    <mergeCell ref="DI11:DI12"/>
    <mergeCell ref="DJ11:DJ12"/>
    <mergeCell ref="CR11:CR12"/>
    <mergeCell ref="CT11:CT12"/>
    <mergeCell ref="CU11:CU12"/>
    <mergeCell ref="CW11:CW12"/>
    <mergeCell ref="CY11:CY12"/>
    <mergeCell ref="CZ11:CZ12"/>
    <mergeCell ref="CH11:CH12"/>
    <mergeCell ref="CJ11:CJ12"/>
    <mergeCell ref="CK11:CK12"/>
    <mergeCell ref="CM11:CM12"/>
    <mergeCell ref="CO11:CO12"/>
    <mergeCell ref="CP11:CP12"/>
    <mergeCell ref="BX11:BX12"/>
    <mergeCell ref="BZ11:BZ12"/>
    <mergeCell ref="CA11:CA12"/>
    <mergeCell ref="CC11:CC12"/>
    <mergeCell ref="CE11:CE12"/>
    <mergeCell ref="CF11:CF12"/>
    <mergeCell ref="BN11:BN12"/>
    <mergeCell ref="BP11:BP12"/>
    <mergeCell ref="BQ11:BQ12"/>
    <mergeCell ref="BS11:BS12"/>
    <mergeCell ref="BU11:BU12"/>
    <mergeCell ref="BV11:BV12"/>
    <mergeCell ref="BD11:BD12"/>
    <mergeCell ref="BF11:BF12"/>
    <mergeCell ref="BG11:BG12"/>
    <mergeCell ref="BI11:BI12"/>
    <mergeCell ref="BK11:BK12"/>
    <mergeCell ref="BL11:BL12"/>
    <mergeCell ref="AT11:AT12"/>
    <mergeCell ref="AV11:AV12"/>
    <mergeCell ref="AW11:AW12"/>
    <mergeCell ref="AY11:AY12"/>
    <mergeCell ref="BA11:BA12"/>
    <mergeCell ref="BB11:BB12"/>
    <mergeCell ref="AJ11:AJ12"/>
    <mergeCell ref="AL11:AL12"/>
    <mergeCell ref="AM11:AM12"/>
    <mergeCell ref="AO11:AO12"/>
    <mergeCell ref="AQ11:AQ12"/>
    <mergeCell ref="AR11:AR12"/>
    <mergeCell ref="AA11:AA12"/>
    <mergeCell ref="AC11:AC12"/>
    <mergeCell ref="AD11:AD12"/>
    <mergeCell ref="AE11:AE12"/>
    <mergeCell ref="AG11:AG12"/>
    <mergeCell ref="AH11:AH12"/>
    <mergeCell ref="R11:R12"/>
    <mergeCell ref="T11:T12"/>
    <mergeCell ref="U11:U12"/>
    <mergeCell ref="V11:V12"/>
    <mergeCell ref="X11:X12"/>
    <mergeCell ref="Y11:Y12"/>
    <mergeCell ref="I11:I12"/>
    <mergeCell ref="K11:K12"/>
    <mergeCell ref="L11:L12"/>
    <mergeCell ref="M11:M12"/>
    <mergeCell ref="O11:O12"/>
    <mergeCell ref="P11:P12"/>
    <mergeCell ref="A11:A12"/>
    <mergeCell ref="C11:C12"/>
    <mergeCell ref="D11:D12"/>
    <mergeCell ref="E11:E12"/>
    <mergeCell ref="G11:G12"/>
    <mergeCell ref="H11:H12"/>
    <mergeCell ref="DB9:DB10"/>
    <mergeCell ref="DD9:DD10"/>
    <mergeCell ref="DE9:DE10"/>
    <mergeCell ref="DG9:DG10"/>
    <mergeCell ref="DI9:DI10"/>
    <mergeCell ref="DJ9:DJ10"/>
    <mergeCell ref="CR9:CR10"/>
    <mergeCell ref="CT9:CT10"/>
    <mergeCell ref="CU9:CU10"/>
    <mergeCell ref="CW9:CW10"/>
    <mergeCell ref="CY9:CY10"/>
    <mergeCell ref="CZ9:CZ10"/>
    <mergeCell ref="CH9:CH10"/>
    <mergeCell ref="CJ9:CJ10"/>
    <mergeCell ref="CK9:CK10"/>
    <mergeCell ref="CM9:CM10"/>
    <mergeCell ref="CO9:CO10"/>
    <mergeCell ref="CP9:CP10"/>
    <mergeCell ref="BX9:BX10"/>
    <mergeCell ref="BZ9:BZ10"/>
    <mergeCell ref="CA9:CA10"/>
    <mergeCell ref="CC9:CC10"/>
    <mergeCell ref="CE9:CE10"/>
    <mergeCell ref="CF9:CF10"/>
    <mergeCell ref="BN9:BN10"/>
    <mergeCell ref="BP9:BP10"/>
    <mergeCell ref="BQ9:BQ10"/>
    <mergeCell ref="BS9:BS10"/>
    <mergeCell ref="BU9:BU10"/>
    <mergeCell ref="BV9:BV10"/>
    <mergeCell ref="BD9:BD10"/>
    <mergeCell ref="BF9:BF10"/>
    <mergeCell ref="BG9:BG10"/>
    <mergeCell ref="BI9:BI10"/>
    <mergeCell ref="BK9:BK10"/>
    <mergeCell ref="BL9:BL10"/>
    <mergeCell ref="AT9:AT10"/>
    <mergeCell ref="AV9:AV10"/>
    <mergeCell ref="AW9:AW10"/>
    <mergeCell ref="AY9:AY10"/>
    <mergeCell ref="BA9:BA10"/>
    <mergeCell ref="BB9:BB10"/>
    <mergeCell ref="AJ9:AJ10"/>
    <mergeCell ref="AL9:AL10"/>
    <mergeCell ref="AM9:AM10"/>
    <mergeCell ref="AO9:AO10"/>
    <mergeCell ref="AQ9:AQ10"/>
    <mergeCell ref="AR9:AR10"/>
    <mergeCell ref="AA9:AA10"/>
    <mergeCell ref="AC9:AC10"/>
    <mergeCell ref="AD9:AD10"/>
    <mergeCell ref="AE9:AE10"/>
    <mergeCell ref="AG9:AG10"/>
    <mergeCell ref="AH9:AH10"/>
    <mergeCell ref="R9:R10"/>
    <mergeCell ref="T9:T10"/>
    <mergeCell ref="U9:U10"/>
    <mergeCell ref="V9:V10"/>
    <mergeCell ref="X9:X10"/>
    <mergeCell ref="Y9:Y10"/>
    <mergeCell ref="I9:I10"/>
    <mergeCell ref="K9:K10"/>
    <mergeCell ref="L9:L10"/>
    <mergeCell ref="M9:M10"/>
    <mergeCell ref="O9:O10"/>
    <mergeCell ref="P9:P10"/>
    <mergeCell ref="A9:A10"/>
    <mergeCell ref="C9:C10"/>
    <mergeCell ref="D9:D10"/>
    <mergeCell ref="E9:E10"/>
    <mergeCell ref="G9:G10"/>
    <mergeCell ref="H9:H10"/>
    <mergeCell ref="DB7:DB8"/>
    <mergeCell ref="DD7:DD8"/>
    <mergeCell ref="DE7:DE8"/>
    <mergeCell ref="DG7:DG8"/>
    <mergeCell ref="DI7:DI8"/>
    <mergeCell ref="DJ7:DJ8"/>
    <mergeCell ref="CR7:CR8"/>
    <mergeCell ref="CT7:CT8"/>
    <mergeCell ref="CU7:CU8"/>
    <mergeCell ref="CW7:CW8"/>
    <mergeCell ref="CY7:CY8"/>
    <mergeCell ref="CZ7:CZ8"/>
    <mergeCell ref="CH7:CH8"/>
    <mergeCell ref="CJ7:CJ8"/>
    <mergeCell ref="CK7:CK8"/>
    <mergeCell ref="CM7:CM8"/>
    <mergeCell ref="CO7:CO8"/>
    <mergeCell ref="CP7:CP8"/>
    <mergeCell ref="BX7:BX8"/>
    <mergeCell ref="BZ7:BZ8"/>
    <mergeCell ref="CA7:CA8"/>
    <mergeCell ref="CC7:CC8"/>
    <mergeCell ref="CE7:CE8"/>
    <mergeCell ref="CF7:CF8"/>
    <mergeCell ref="BN7:BN8"/>
    <mergeCell ref="BP7:BP8"/>
    <mergeCell ref="BQ7:BQ8"/>
    <mergeCell ref="BS7:BS8"/>
    <mergeCell ref="BU7:BU8"/>
    <mergeCell ref="BV7:BV8"/>
    <mergeCell ref="BD7:BD8"/>
    <mergeCell ref="BF7:BF8"/>
    <mergeCell ref="BG7:BG8"/>
    <mergeCell ref="BI7:BI8"/>
    <mergeCell ref="BK7:BK8"/>
    <mergeCell ref="BL7:BL8"/>
    <mergeCell ref="AT7:AT8"/>
    <mergeCell ref="AV7:AV8"/>
    <mergeCell ref="AW7:AW8"/>
    <mergeCell ref="AY7:AY8"/>
    <mergeCell ref="BA7:BA8"/>
    <mergeCell ref="BB7:BB8"/>
    <mergeCell ref="AJ7:AJ8"/>
    <mergeCell ref="AL7:AL8"/>
    <mergeCell ref="AM7:AM8"/>
    <mergeCell ref="AO7:AO8"/>
    <mergeCell ref="AQ7:AQ8"/>
    <mergeCell ref="AR7:AR8"/>
    <mergeCell ref="AA7:AA8"/>
    <mergeCell ref="AC7:AC8"/>
    <mergeCell ref="AD7:AD8"/>
    <mergeCell ref="AE7:AE8"/>
    <mergeCell ref="AG7:AG8"/>
    <mergeCell ref="AH7:AH8"/>
    <mergeCell ref="R7:R8"/>
    <mergeCell ref="T7:T8"/>
    <mergeCell ref="U7:U8"/>
    <mergeCell ref="V7:V8"/>
    <mergeCell ref="X7:X8"/>
    <mergeCell ref="Y7:Y8"/>
    <mergeCell ref="I7:I8"/>
    <mergeCell ref="K7:K8"/>
    <mergeCell ref="L7:L8"/>
    <mergeCell ref="M7:M8"/>
    <mergeCell ref="O7:O8"/>
    <mergeCell ref="P7:P8"/>
    <mergeCell ref="A7:A8"/>
    <mergeCell ref="C7:C8"/>
    <mergeCell ref="D7:D8"/>
    <mergeCell ref="E7:E8"/>
    <mergeCell ref="G7:G8"/>
    <mergeCell ref="H7:H8"/>
    <mergeCell ref="DB5:DB6"/>
    <mergeCell ref="DD5:DD6"/>
    <mergeCell ref="DE5:DE6"/>
    <mergeCell ref="DG5:DG6"/>
    <mergeCell ref="DI5:DI6"/>
    <mergeCell ref="DJ5:DJ6"/>
    <mergeCell ref="CR5:CR6"/>
    <mergeCell ref="CT5:CT6"/>
    <mergeCell ref="CU5:CU6"/>
    <mergeCell ref="CW5:CW6"/>
    <mergeCell ref="CY5:CY6"/>
    <mergeCell ref="CZ5:CZ6"/>
    <mergeCell ref="CH5:CH6"/>
    <mergeCell ref="CJ5:CJ6"/>
    <mergeCell ref="CK5:CK6"/>
    <mergeCell ref="CM5:CM6"/>
    <mergeCell ref="CO5:CO6"/>
    <mergeCell ref="CP5:CP6"/>
    <mergeCell ref="BX5:BX6"/>
    <mergeCell ref="BZ5:BZ6"/>
    <mergeCell ref="CA5:CA6"/>
    <mergeCell ref="CC5:CC6"/>
    <mergeCell ref="CE5:CE6"/>
    <mergeCell ref="CF5:CF6"/>
    <mergeCell ref="BN5:BN6"/>
    <mergeCell ref="BP5:BP6"/>
    <mergeCell ref="BQ5:BQ6"/>
    <mergeCell ref="BS5:BS6"/>
    <mergeCell ref="BU5:BU6"/>
    <mergeCell ref="BV5:BV6"/>
    <mergeCell ref="BD5:BD6"/>
    <mergeCell ref="BF5:BF6"/>
    <mergeCell ref="BG5:BG6"/>
    <mergeCell ref="BI5:BI6"/>
    <mergeCell ref="BK5:BK6"/>
    <mergeCell ref="BL5:BL6"/>
    <mergeCell ref="AT5:AT6"/>
    <mergeCell ref="AV5:AV6"/>
    <mergeCell ref="AW5:AW6"/>
    <mergeCell ref="AY5:AY6"/>
    <mergeCell ref="BA5:BA6"/>
    <mergeCell ref="BB5:BB6"/>
    <mergeCell ref="AJ5:AJ6"/>
    <mergeCell ref="AL5:AL6"/>
    <mergeCell ref="AM5:AM6"/>
    <mergeCell ref="AO5:AO6"/>
    <mergeCell ref="AQ5:AQ6"/>
    <mergeCell ref="AR5:AR6"/>
    <mergeCell ref="AA5:AA6"/>
    <mergeCell ref="AC5:AC6"/>
    <mergeCell ref="AD5:AD6"/>
    <mergeCell ref="AE5:AE6"/>
    <mergeCell ref="AG5:AG6"/>
    <mergeCell ref="AH5:AH6"/>
    <mergeCell ref="R5:R6"/>
    <mergeCell ref="T5:T6"/>
    <mergeCell ref="U5:U6"/>
    <mergeCell ref="V5:V6"/>
    <mergeCell ref="X5:X6"/>
    <mergeCell ref="Y5:Y6"/>
    <mergeCell ref="I5:I6"/>
    <mergeCell ref="K5:K6"/>
    <mergeCell ref="L5:L6"/>
    <mergeCell ref="M5:M6"/>
    <mergeCell ref="O5:O6"/>
    <mergeCell ref="P5:P6"/>
    <mergeCell ref="A5:A6"/>
    <mergeCell ref="C5:C6"/>
    <mergeCell ref="D5:D6"/>
    <mergeCell ref="E5:E6"/>
    <mergeCell ref="G5:G6"/>
    <mergeCell ref="H5:H6"/>
    <mergeCell ref="CH2:CK2"/>
    <mergeCell ref="CM2:CP2"/>
    <mergeCell ref="CR2:CU2"/>
    <mergeCell ref="CW2:CZ2"/>
    <mergeCell ref="DB2:DE2"/>
    <mergeCell ref="DG2:DJ2"/>
    <mergeCell ref="BD2:BG2"/>
    <mergeCell ref="BI2:BL2"/>
    <mergeCell ref="BN2:BQ2"/>
    <mergeCell ref="BS2:BV2"/>
    <mergeCell ref="BX2:CA2"/>
    <mergeCell ref="CC2:CF2"/>
    <mergeCell ref="AA2:AD2"/>
    <mergeCell ref="AE2:AH2"/>
    <mergeCell ref="AJ2:AM2"/>
    <mergeCell ref="AO2:AR2"/>
    <mergeCell ref="AT2:AW2"/>
    <mergeCell ref="AY2:BB2"/>
    <mergeCell ref="A2:D2"/>
    <mergeCell ref="E2:H2"/>
    <mergeCell ref="I2:L2"/>
    <mergeCell ref="M2:P2"/>
    <mergeCell ref="R2:U2"/>
    <mergeCell ref="V2:Y2"/>
  </mergeCells>
  <printOptions/>
  <pageMargins left="0.24" right="0.24" top="0.4" bottom="0.16" header="0.5" footer="0.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5:BZ49"/>
  <sheetViews>
    <sheetView zoomScale="85" zoomScaleNormal="85" zoomScalePageLayoutView="0" workbookViewId="0" topLeftCell="A5">
      <selection activeCell="D9" sqref="D9"/>
    </sheetView>
  </sheetViews>
  <sheetFormatPr defaultColWidth="9.140625" defaultRowHeight="12.75"/>
  <cols>
    <col min="1" max="1" width="11.421875" style="0" bestFit="1" customWidth="1"/>
    <col min="2" max="2" width="5.57421875" style="0" customWidth="1"/>
    <col min="3" max="4" width="13.28125" style="0" customWidth="1"/>
    <col min="5" max="5" width="11.7109375" style="0" customWidth="1"/>
    <col min="6" max="6" width="13.28125" style="0" customWidth="1"/>
    <col min="7" max="7" width="11.7109375" style="0" customWidth="1"/>
    <col min="8" max="8" width="13.28125" style="0" customWidth="1"/>
    <col min="9" max="9" width="11.7109375" style="0" customWidth="1"/>
    <col min="10" max="10" width="13.28125" style="0" customWidth="1"/>
    <col min="11" max="11" width="13.28125" style="9" customWidth="1"/>
    <col min="12" max="12" width="5.57421875" style="0" customWidth="1"/>
    <col min="13" max="13" width="13.28125" style="0" customWidth="1"/>
    <col min="14" max="14" width="13.8515625" style="0" customWidth="1"/>
    <col min="15" max="15" width="11.7109375" style="0" customWidth="1"/>
    <col min="16" max="16" width="13.28125" style="0" customWidth="1"/>
    <col min="17" max="17" width="11.7109375" style="0" customWidth="1"/>
    <col min="18" max="18" width="13.28125" style="0" customWidth="1"/>
    <col min="19" max="19" width="11.7109375" style="0" customWidth="1"/>
    <col min="20" max="20" width="13.28125" style="0" customWidth="1"/>
    <col min="21" max="21" width="13.28125" style="9" customWidth="1"/>
    <col min="22" max="22" width="5.57421875" style="0" customWidth="1"/>
    <col min="23" max="23" width="13.7109375" style="0" customWidth="1"/>
    <col min="24" max="24" width="12.57421875" style="0" customWidth="1"/>
    <col min="25" max="25" width="11.7109375" style="0" customWidth="1"/>
    <col min="26" max="26" width="13.28125" style="0" customWidth="1"/>
    <col min="27" max="27" width="11.7109375" style="0" customWidth="1"/>
    <col min="28" max="28" width="13.28125" style="0" customWidth="1"/>
    <col min="29" max="29" width="11.7109375" style="0" customWidth="1"/>
    <col min="30" max="30" width="13.28125" style="0" customWidth="1"/>
    <col min="31" max="31" width="13.28125" style="9" customWidth="1"/>
    <col min="32" max="32" width="5.57421875" style="0" customWidth="1"/>
    <col min="33" max="33" width="12.7109375" style="0" customWidth="1"/>
    <col min="34" max="34" width="12.57421875" style="0" customWidth="1"/>
    <col min="35" max="35" width="11.7109375" style="0" customWidth="1"/>
    <col min="36" max="36" width="13.28125" style="0" customWidth="1"/>
    <col min="37" max="37" width="11.7109375" style="0" customWidth="1"/>
    <col min="38" max="38" width="13.28125" style="0" customWidth="1"/>
    <col min="39" max="39" width="11.7109375" style="0" customWidth="1"/>
    <col min="40" max="40" width="13.28125" style="0" customWidth="1"/>
    <col min="41" max="41" width="13.28125" style="9" customWidth="1"/>
    <col min="42" max="42" width="5.57421875" style="0" customWidth="1"/>
    <col min="43" max="43" width="13.7109375" style="0" customWidth="1"/>
    <col min="44" max="44" width="12.57421875" style="0" customWidth="1"/>
    <col min="45" max="45" width="11.7109375" style="0" customWidth="1"/>
    <col min="46" max="46" width="12.421875" style="0" customWidth="1"/>
    <col min="47" max="47" width="11.7109375" style="0" customWidth="1"/>
    <col min="48" max="48" width="13.28125" style="0" customWidth="1"/>
    <col min="49" max="49" width="11.7109375" style="0" customWidth="1"/>
    <col min="50" max="50" width="13.28125" style="0" customWidth="1"/>
    <col min="51" max="51" width="13.28125" style="9" customWidth="1"/>
    <col min="52" max="52" width="5.57421875" style="0" customWidth="1"/>
    <col min="53" max="53" width="13.7109375" style="0" customWidth="1"/>
    <col min="54" max="54" width="12.57421875" style="0" customWidth="1"/>
    <col min="55" max="55" width="11.7109375" style="0" customWidth="1"/>
    <col min="56" max="56" width="12.421875" style="0" customWidth="1"/>
    <col min="57" max="57" width="11.7109375" style="0" customWidth="1"/>
    <col min="58" max="58" width="13.28125" style="0" customWidth="1"/>
    <col min="59" max="59" width="11.7109375" style="0" customWidth="1"/>
    <col min="60" max="60" width="13.28125" style="0" customWidth="1"/>
    <col min="62" max="62" width="5.57421875" style="0" customWidth="1"/>
    <col min="63" max="63" width="21.421875" style="0" customWidth="1"/>
    <col min="64" max="64" width="12.421875" style="0" customWidth="1"/>
    <col min="65" max="66" width="13.28125" style="0" customWidth="1"/>
    <col min="68" max="68" width="5.57421875" style="0" customWidth="1"/>
    <col min="69" max="69" width="12.57421875" style="0" customWidth="1"/>
    <col min="70" max="70" width="12.421875" style="0" customWidth="1"/>
    <col min="71" max="72" width="13.28125" style="0" customWidth="1"/>
    <col min="74" max="74" width="5.57421875" style="0" customWidth="1"/>
    <col min="75" max="75" width="12.57421875" style="0" customWidth="1"/>
    <col min="76" max="76" width="12.421875" style="0" customWidth="1"/>
    <col min="77" max="78" width="13.28125" style="0" customWidth="1"/>
  </cols>
  <sheetData>
    <row r="4" ht="13.5" thickBot="1"/>
    <row r="5" spans="2:78" s="18" customFormat="1" ht="13.5" customHeight="1" thickBot="1">
      <c r="B5" s="717"/>
      <c r="C5" s="718"/>
      <c r="D5" s="718"/>
      <c r="E5" s="718"/>
      <c r="F5" s="718"/>
      <c r="G5" s="718"/>
      <c r="H5" s="718"/>
      <c r="I5" s="718"/>
      <c r="J5" s="719"/>
      <c r="K5" s="150"/>
      <c r="L5" s="150"/>
      <c r="M5" s="717"/>
      <c r="N5" s="718"/>
      <c r="O5" s="718"/>
      <c r="P5" s="718"/>
      <c r="Q5" s="718"/>
      <c r="R5" s="718"/>
      <c r="S5" s="718"/>
      <c r="T5" s="719"/>
      <c r="U5" s="150"/>
      <c r="V5" s="717"/>
      <c r="W5" s="718"/>
      <c r="X5" s="718"/>
      <c r="Y5" s="718"/>
      <c r="Z5" s="718"/>
      <c r="AA5" s="718"/>
      <c r="AB5" s="718"/>
      <c r="AC5" s="718"/>
      <c r="AD5" s="719"/>
      <c r="AE5" s="150"/>
      <c r="AF5" s="717"/>
      <c r="AG5" s="718"/>
      <c r="AH5" s="718"/>
      <c r="AI5" s="718"/>
      <c r="AJ5" s="718"/>
      <c r="AK5" s="718"/>
      <c r="AL5" s="718"/>
      <c r="AM5" s="718"/>
      <c r="AN5" s="719"/>
      <c r="AO5" s="150"/>
      <c r="AP5" s="717"/>
      <c r="AQ5" s="718"/>
      <c r="AR5" s="718"/>
      <c r="AS5" s="718"/>
      <c r="AT5" s="718"/>
      <c r="AU5" s="718"/>
      <c r="AV5" s="718"/>
      <c r="AW5" s="718"/>
      <c r="AX5" s="719"/>
      <c r="AY5" s="150"/>
      <c r="AZ5" s="717"/>
      <c r="BA5" s="718"/>
      <c r="BB5" s="718"/>
      <c r="BC5" s="718"/>
      <c r="BD5" s="718"/>
      <c r="BE5" s="718"/>
      <c r="BF5" s="718"/>
      <c r="BG5" s="718"/>
      <c r="BH5" s="719"/>
      <c r="BJ5" s="717"/>
      <c r="BK5" s="718"/>
      <c r="BL5" s="718"/>
      <c r="BM5" s="718"/>
      <c r="BN5" s="719"/>
      <c r="BP5" s="717"/>
      <c r="BQ5" s="718"/>
      <c r="BR5" s="718"/>
      <c r="BS5" s="718"/>
      <c r="BT5" s="719"/>
      <c r="BV5" s="717"/>
      <c r="BW5" s="718"/>
      <c r="BX5" s="718"/>
      <c r="BY5" s="718"/>
      <c r="BZ5" s="719"/>
    </row>
    <row r="6" spans="2:78" s="18" customFormat="1" ht="19.5" customHeight="1" thickBot="1">
      <c r="B6" s="693" t="s">
        <v>22</v>
      </c>
      <c r="C6" s="802" t="s">
        <v>231</v>
      </c>
      <c r="D6" s="802"/>
      <c r="E6" s="802"/>
      <c r="F6" s="802"/>
      <c r="G6" s="802"/>
      <c r="H6" s="802"/>
      <c r="I6" s="802"/>
      <c r="J6" s="803"/>
      <c r="K6" s="150"/>
      <c r="L6" s="693" t="s">
        <v>22</v>
      </c>
      <c r="M6" s="798" t="s">
        <v>232</v>
      </c>
      <c r="N6" s="799"/>
      <c r="O6" s="799"/>
      <c r="P6" s="799"/>
      <c r="Q6" s="799"/>
      <c r="R6" s="799"/>
      <c r="S6" s="799"/>
      <c r="T6" s="800"/>
      <c r="U6" s="150"/>
      <c r="V6" s="693" t="s">
        <v>22</v>
      </c>
      <c r="W6" s="807" t="s">
        <v>233</v>
      </c>
      <c r="X6" s="808"/>
      <c r="Y6" s="808"/>
      <c r="Z6" s="808"/>
      <c r="AA6" s="808"/>
      <c r="AB6" s="808"/>
      <c r="AC6" s="808"/>
      <c r="AD6" s="809"/>
      <c r="AE6" s="150"/>
      <c r="AF6" s="693" t="s">
        <v>22</v>
      </c>
      <c r="AG6" s="798" t="s">
        <v>234</v>
      </c>
      <c r="AH6" s="799"/>
      <c r="AI6" s="799"/>
      <c r="AJ6" s="799"/>
      <c r="AK6" s="799"/>
      <c r="AL6" s="799"/>
      <c r="AM6" s="799"/>
      <c r="AN6" s="800"/>
      <c r="AO6" s="150"/>
      <c r="AP6" s="693" t="s">
        <v>22</v>
      </c>
      <c r="AQ6" s="801" t="s">
        <v>235</v>
      </c>
      <c r="AR6" s="802"/>
      <c r="AS6" s="802"/>
      <c r="AT6" s="802"/>
      <c r="AU6" s="802"/>
      <c r="AV6" s="802"/>
      <c r="AW6" s="802"/>
      <c r="AX6" s="803"/>
      <c r="AY6" s="150"/>
      <c r="AZ6" s="693" t="s">
        <v>22</v>
      </c>
      <c r="BA6" s="804" t="s">
        <v>236</v>
      </c>
      <c r="BB6" s="805"/>
      <c r="BC6" s="805"/>
      <c r="BD6" s="805"/>
      <c r="BE6" s="805"/>
      <c r="BF6" s="805"/>
      <c r="BG6" s="805"/>
      <c r="BH6" s="806"/>
      <c r="BJ6" s="693" t="s">
        <v>22</v>
      </c>
      <c r="BK6" s="793" t="s">
        <v>151</v>
      </c>
      <c r="BL6" s="794"/>
      <c r="BM6" s="794"/>
      <c r="BN6" s="795"/>
      <c r="BP6" s="693" t="s">
        <v>22</v>
      </c>
      <c r="BQ6" s="717" t="s">
        <v>48</v>
      </c>
      <c r="BR6" s="718"/>
      <c r="BS6" s="718"/>
      <c r="BT6" s="719"/>
      <c r="BV6" s="693" t="s">
        <v>22</v>
      </c>
      <c r="BW6" s="789" t="s">
        <v>178</v>
      </c>
      <c r="BX6" s="790"/>
      <c r="BY6" s="790"/>
      <c r="BZ6" s="791"/>
    </row>
    <row r="7" spans="2:78" s="19" customFormat="1" ht="25.5" customHeight="1" thickBot="1">
      <c r="B7" s="694"/>
      <c r="C7" s="796" t="s">
        <v>37</v>
      </c>
      <c r="D7" s="797"/>
      <c r="E7" s="796" t="s">
        <v>38</v>
      </c>
      <c r="F7" s="797"/>
      <c r="G7" s="796" t="s">
        <v>39</v>
      </c>
      <c r="H7" s="797"/>
      <c r="I7" s="796" t="s">
        <v>40</v>
      </c>
      <c r="J7" s="797"/>
      <c r="K7" s="49"/>
      <c r="L7" s="694"/>
      <c r="M7" s="796" t="s">
        <v>37</v>
      </c>
      <c r="N7" s="797"/>
      <c r="O7" s="796" t="s">
        <v>38</v>
      </c>
      <c r="P7" s="797"/>
      <c r="Q7" s="796" t="s">
        <v>39</v>
      </c>
      <c r="R7" s="797"/>
      <c r="S7" s="796" t="s">
        <v>40</v>
      </c>
      <c r="T7" s="797"/>
      <c r="U7" s="49"/>
      <c r="V7" s="694"/>
      <c r="W7" s="796" t="s">
        <v>37</v>
      </c>
      <c r="X7" s="797"/>
      <c r="Y7" s="796" t="s">
        <v>38</v>
      </c>
      <c r="Z7" s="797"/>
      <c r="AA7" s="796" t="s">
        <v>39</v>
      </c>
      <c r="AB7" s="797"/>
      <c r="AC7" s="796" t="s">
        <v>40</v>
      </c>
      <c r="AD7" s="797"/>
      <c r="AE7" s="49"/>
      <c r="AF7" s="694"/>
      <c r="AG7" s="796" t="s">
        <v>37</v>
      </c>
      <c r="AH7" s="797"/>
      <c r="AI7" s="796" t="s">
        <v>38</v>
      </c>
      <c r="AJ7" s="797"/>
      <c r="AK7" s="796" t="s">
        <v>39</v>
      </c>
      <c r="AL7" s="797"/>
      <c r="AM7" s="796" t="s">
        <v>40</v>
      </c>
      <c r="AN7" s="797"/>
      <c r="AO7" s="49"/>
      <c r="AP7" s="694"/>
      <c r="AQ7" s="796" t="s">
        <v>37</v>
      </c>
      <c r="AR7" s="797"/>
      <c r="AS7" s="796" t="s">
        <v>38</v>
      </c>
      <c r="AT7" s="797"/>
      <c r="AU7" s="796" t="s">
        <v>39</v>
      </c>
      <c r="AV7" s="797"/>
      <c r="AW7" s="796" t="s">
        <v>40</v>
      </c>
      <c r="AX7" s="797"/>
      <c r="AY7" s="49"/>
      <c r="AZ7" s="694"/>
      <c r="BA7" s="796" t="s">
        <v>37</v>
      </c>
      <c r="BB7" s="797"/>
      <c r="BC7" s="796" t="s">
        <v>38</v>
      </c>
      <c r="BD7" s="797"/>
      <c r="BE7" s="796" t="s">
        <v>39</v>
      </c>
      <c r="BF7" s="797"/>
      <c r="BG7" s="796" t="s">
        <v>40</v>
      </c>
      <c r="BH7" s="797"/>
      <c r="BJ7" s="694"/>
      <c r="BK7" s="77" t="s">
        <v>37</v>
      </c>
      <c r="BL7" s="69" t="s">
        <v>38</v>
      </c>
      <c r="BM7" s="69" t="s">
        <v>39</v>
      </c>
      <c r="BN7" s="69" t="s">
        <v>40</v>
      </c>
      <c r="BP7" s="694"/>
      <c r="BQ7" s="77" t="s">
        <v>37</v>
      </c>
      <c r="BR7" s="69" t="s">
        <v>38</v>
      </c>
      <c r="BS7" s="69" t="s">
        <v>39</v>
      </c>
      <c r="BT7" s="69" t="s">
        <v>40</v>
      </c>
      <c r="BV7" s="694"/>
      <c r="BW7" s="77" t="s">
        <v>37</v>
      </c>
      <c r="BX7" s="69" t="s">
        <v>38</v>
      </c>
      <c r="BY7" s="69" t="s">
        <v>39</v>
      </c>
      <c r="BZ7" s="69" t="s">
        <v>40</v>
      </c>
    </row>
    <row r="8" spans="2:78" s="39" customFormat="1" ht="12.75">
      <c r="B8" s="37">
        <v>2</v>
      </c>
      <c r="C8" s="531"/>
      <c r="D8" s="65"/>
      <c r="E8" s="149"/>
      <c r="F8" s="65"/>
      <c r="G8" s="57"/>
      <c r="H8" s="65"/>
      <c r="I8" s="167"/>
      <c r="J8" s="65"/>
      <c r="K8" s="93"/>
      <c r="L8" s="37">
        <v>2</v>
      </c>
      <c r="M8" s="62"/>
      <c r="N8" s="118"/>
      <c r="O8" s="121"/>
      <c r="P8" s="65"/>
      <c r="Q8" s="57"/>
      <c r="R8" s="65"/>
      <c r="S8" s="57"/>
      <c r="T8" s="65"/>
      <c r="U8" s="93"/>
      <c r="V8" s="37">
        <v>2</v>
      </c>
      <c r="W8" s="62"/>
      <c r="X8" s="63"/>
      <c r="Y8" s="167"/>
      <c r="Z8" s="65"/>
      <c r="AA8" s="57"/>
      <c r="AB8" s="65"/>
      <c r="AC8" s="526"/>
      <c r="AD8" s="65"/>
      <c r="AE8" s="93"/>
      <c r="AF8" s="76">
        <v>2</v>
      </c>
      <c r="AG8" s="57"/>
      <c r="AH8" s="65"/>
      <c r="AI8" s="57"/>
      <c r="AJ8" s="65"/>
      <c r="AK8" s="57"/>
      <c r="AL8" s="65"/>
      <c r="AM8" s="57"/>
      <c r="AN8" s="65"/>
      <c r="AO8" s="93"/>
      <c r="AP8" s="37">
        <v>2</v>
      </c>
      <c r="AQ8" s="531"/>
      <c r="AR8" s="65"/>
      <c r="AS8" s="531"/>
      <c r="AT8" s="65"/>
      <c r="AU8" s="57"/>
      <c r="AV8" s="65"/>
      <c r="AW8" s="167"/>
      <c r="AX8" s="65"/>
      <c r="AY8" s="93"/>
      <c r="AZ8" s="37">
        <v>2</v>
      </c>
      <c r="BA8" s="531"/>
      <c r="BB8" s="65"/>
      <c r="BC8" s="531"/>
      <c r="BD8" s="65"/>
      <c r="BE8" s="531"/>
      <c r="BF8" s="65"/>
      <c r="BG8" s="531"/>
      <c r="BH8" s="65"/>
      <c r="BJ8" s="37">
        <v>2</v>
      </c>
      <c r="BK8" s="37"/>
      <c r="BL8" s="73"/>
      <c r="BM8" s="76"/>
      <c r="BN8" s="74"/>
      <c r="BP8" s="37">
        <v>2</v>
      </c>
      <c r="BQ8" s="37"/>
      <c r="BR8" s="73"/>
      <c r="BS8" s="76"/>
      <c r="BT8" s="74"/>
      <c r="BV8" s="37">
        <v>2</v>
      </c>
      <c r="BW8" s="37"/>
      <c r="BX8" s="73"/>
      <c r="BY8" s="76"/>
      <c r="BZ8" s="74"/>
    </row>
    <row r="9" spans="2:78" s="39" customFormat="1" ht="12.75">
      <c r="B9" s="42">
        <v>3</v>
      </c>
      <c r="C9" s="532"/>
      <c r="D9" s="43">
        <f>'Расчет Пойк'!C64</f>
        <v>1453.2</v>
      </c>
      <c r="E9" s="122"/>
      <c r="F9" s="43">
        <f>'Расчет Пойк'!G64</f>
        <v>0</v>
      </c>
      <c r="G9" s="68"/>
      <c r="H9" s="43">
        <f>'Расчет Пойк'!K64</f>
        <v>373.8</v>
      </c>
      <c r="I9" s="168"/>
      <c r="J9" s="43">
        <f>'Расчет Пойк'!O64</f>
        <v>0</v>
      </c>
      <c r="K9" s="151"/>
      <c r="L9" s="42">
        <v>3</v>
      </c>
      <c r="M9" s="58"/>
      <c r="N9" s="45">
        <f>'Расчет Пойк'!T64</f>
        <v>978.6</v>
      </c>
      <c r="O9" s="122"/>
      <c r="P9" s="43">
        <v>0</v>
      </c>
      <c r="Q9" s="68"/>
      <c r="R9" s="43">
        <f>'Расчет Пойк'!AC64</f>
        <v>4.2</v>
      </c>
      <c r="S9" s="68"/>
      <c r="T9" s="43">
        <f>'Расчет Пойк'!AG64</f>
        <v>256.2</v>
      </c>
      <c r="U9" s="151"/>
      <c r="V9" s="42">
        <v>3</v>
      </c>
      <c r="W9" s="58"/>
      <c r="X9" s="43">
        <f>'Расчет Пойк'!AL64</f>
        <v>212.16</v>
      </c>
      <c r="Y9" s="168"/>
      <c r="Z9" s="43">
        <f>'Расчет Пойк'!AR64</f>
        <v>0</v>
      </c>
      <c r="AA9" s="68"/>
      <c r="AB9" s="43">
        <f>'Расчет Пойк'!AV64</f>
        <v>3.84</v>
      </c>
      <c r="AC9" s="527"/>
      <c r="AD9" s="43">
        <f>'Расчет Пойк'!BA64</f>
        <v>32.64</v>
      </c>
      <c r="AF9" s="42">
        <v>3</v>
      </c>
      <c r="AG9" s="58"/>
      <c r="AH9" s="43">
        <f>'Расчет Пойк'!BZ64</f>
        <v>356.16</v>
      </c>
      <c r="AI9" s="58"/>
      <c r="AJ9" s="43">
        <f>'Расчет Пойк'!CF64</f>
        <v>0</v>
      </c>
      <c r="AK9" s="68"/>
      <c r="AL9" s="43">
        <f>'Расчет Пойк'!CJ64</f>
        <v>111.36</v>
      </c>
      <c r="AM9" s="58"/>
      <c r="AN9" s="43">
        <f>'Расчет Пойк'!CO64</f>
        <v>0</v>
      </c>
      <c r="AO9" s="151"/>
      <c r="AP9" s="42">
        <v>3</v>
      </c>
      <c r="AQ9" s="532"/>
      <c r="AR9" s="43">
        <f>'Расчет Пойк'!BF64</f>
        <v>0.006</v>
      </c>
      <c r="AS9" s="532"/>
      <c r="AT9" s="43">
        <v>0</v>
      </c>
      <c r="AU9" s="68"/>
      <c r="AV9" s="342">
        <f>'Расчет Пойк'!BP64</f>
        <v>0.024</v>
      </c>
      <c r="AW9" s="168"/>
      <c r="AX9" s="43">
        <v>0</v>
      </c>
      <c r="AY9" s="344"/>
      <c r="AZ9" s="42">
        <v>3</v>
      </c>
      <c r="BA9" s="532"/>
      <c r="BB9" s="43">
        <f>'Расчет Пойк'!CT64</f>
        <v>0.102</v>
      </c>
      <c r="BC9" s="532"/>
      <c r="BD9" s="43">
        <v>0</v>
      </c>
      <c r="BE9" s="532"/>
      <c r="BF9" s="43">
        <f>'Расчет Пойк'!DD64</f>
        <v>0.09</v>
      </c>
      <c r="BG9" s="532"/>
      <c r="BH9" s="43">
        <v>0</v>
      </c>
      <c r="BJ9" s="42">
        <v>3</v>
      </c>
      <c r="BK9" s="78">
        <f>ROUND(D9+X9+AR9,2)</f>
        <v>1665.37</v>
      </c>
      <c r="BL9" s="45">
        <f>ROUND(F9+Z9+AT9,2)</f>
        <v>0</v>
      </c>
      <c r="BM9" s="78">
        <f>ROUND(H9+AB9+AV9,2)</f>
        <v>377.66</v>
      </c>
      <c r="BN9" s="75">
        <f>ROUND(J9+AD9+AX9,2)</f>
        <v>32.64</v>
      </c>
      <c r="BP9" s="42">
        <v>3</v>
      </c>
      <c r="BQ9" s="78">
        <f>ROUND(N9+AH9+BB9,2)</f>
        <v>1334.86</v>
      </c>
      <c r="BR9" s="45">
        <f>ROUND(P9+AJ9+BD9,2)</f>
        <v>0</v>
      </c>
      <c r="BS9" s="78">
        <f>ROUND(R9+AL9+BF9,2)</f>
        <v>115.65</v>
      </c>
      <c r="BT9" s="75">
        <f>ROUND(T9+AN9+BH9,2)</f>
        <v>256.2</v>
      </c>
      <c r="BV9" s="42">
        <v>3</v>
      </c>
      <c r="BW9" s="78">
        <f>BK9+BQ9</f>
        <v>3000.2299999999996</v>
      </c>
      <c r="BX9" s="78">
        <f>BL9+BR9</f>
        <v>0</v>
      </c>
      <c r="BY9" s="78">
        <f>BM9+BS9</f>
        <v>493.31000000000006</v>
      </c>
      <c r="BZ9" s="78">
        <f>BN9+BT9</f>
        <v>288.84</v>
      </c>
    </row>
    <row r="10" spans="2:78" s="39" customFormat="1" ht="12.75">
      <c r="B10" s="70">
        <v>4</v>
      </c>
      <c r="C10" s="532"/>
      <c r="D10" s="43">
        <f>'Расчет Пойк'!C65</f>
        <v>1436.4</v>
      </c>
      <c r="E10" s="122"/>
      <c r="F10" s="43">
        <f>'Расчет Пойк'!G65</f>
        <v>0</v>
      </c>
      <c r="G10" s="58"/>
      <c r="H10" s="43">
        <f>'Расчет Пойк'!K65</f>
        <v>373.8</v>
      </c>
      <c r="I10" s="169"/>
      <c r="J10" s="43">
        <f>'Расчет Пойк'!O65</f>
        <v>0</v>
      </c>
      <c r="K10" s="151"/>
      <c r="L10" s="70">
        <v>4</v>
      </c>
      <c r="M10" s="58"/>
      <c r="N10" s="45">
        <f>'Расчет Пойк'!T65</f>
        <v>949.2</v>
      </c>
      <c r="O10" s="122"/>
      <c r="P10" s="43">
        <v>0</v>
      </c>
      <c r="Q10" s="58"/>
      <c r="R10" s="43">
        <f>'Расчет Пойк'!AC65</f>
        <v>0</v>
      </c>
      <c r="S10" s="58"/>
      <c r="T10" s="43">
        <f>'Расчет Пойк'!AG65</f>
        <v>252</v>
      </c>
      <c r="U10" s="151"/>
      <c r="V10" s="70">
        <v>4</v>
      </c>
      <c r="W10" s="58"/>
      <c r="X10" s="43">
        <f>'Расчет Пойк'!AL65</f>
        <v>206.4</v>
      </c>
      <c r="Y10" s="168"/>
      <c r="Z10" s="43">
        <f>'Расчет Пойк'!AR65</f>
        <v>0</v>
      </c>
      <c r="AA10" s="58"/>
      <c r="AB10" s="43">
        <f>'Расчет Пойк'!AV65</f>
        <v>7.68</v>
      </c>
      <c r="AC10" s="528"/>
      <c r="AD10" s="43">
        <f>'Расчет Пойк'!BA65</f>
        <v>24.96</v>
      </c>
      <c r="AF10" s="70">
        <v>4</v>
      </c>
      <c r="AG10" s="58"/>
      <c r="AH10" s="43">
        <f>'Расчет Пойк'!BZ65</f>
        <v>355.2</v>
      </c>
      <c r="AI10" s="58"/>
      <c r="AJ10" s="43">
        <f>'Расчет Пойк'!CF65</f>
        <v>0</v>
      </c>
      <c r="AK10" s="58"/>
      <c r="AL10" s="43">
        <f>'Расчет Пойк'!CJ65</f>
        <v>113.28</v>
      </c>
      <c r="AM10" s="58"/>
      <c r="AN10" s="43">
        <f>'Расчет Пойк'!CO65</f>
        <v>0</v>
      </c>
      <c r="AO10" s="151"/>
      <c r="AP10" s="70">
        <v>4</v>
      </c>
      <c r="AQ10" s="532"/>
      <c r="AR10" s="43">
        <f>'Расчет Пойк'!BF65</f>
        <v>0.012</v>
      </c>
      <c r="AS10" s="532"/>
      <c r="AT10" s="43">
        <v>0</v>
      </c>
      <c r="AU10" s="58"/>
      <c r="AV10" s="342">
        <f>'Расчет Пойк'!BP65</f>
        <v>0.03</v>
      </c>
      <c r="AW10" s="168"/>
      <c r="AX10" s="43">
        <v>0</v>
      </c>
      <c r="AY10" s="344"/>
      <c r="AZ10" s="70">
        <v>4</v>
      </c>
      <c r="BA10" s="532"/>
      <c r="BB10" s="43">
        <f>'Расчет Пойк'!CT65</f>
        <v>0.096</v>
      </c>
      <c r="BC10" s="532"/>
      <c r="BD10" s="43">
        <v>0</v>
      </c>
      <c r="BE10" s="532"/>
      <c r="BF10" s="43">
        <f>'Расчет Пойк'!DD65</f>
        <v>0.084</v>
      </c>
      <c r="BG10" s="532"/>
      <c r="BH10" s="43">
        <v>0</v>
      </c>
      <c r="BJ10" s="70">
        <v>4</v>
      </c>
      <c r="BK10" s="78">
        <f aca="true" t="shared" si="0" ref="BK10:BK32">ROUND(D10+X10+AR10,2)</f>
        <v>1642.81</v>
      </c>
      <c r="BL10" s="45">
        <f aca="true" t="shared" si="1" ref="BL10:BL32">ROUND(F10+Z10+AT10,2)</f>
        <v>0</v>
      </c>
      <c r="BM10" s="78">
        <f aca="true" t="shared" si="2" ref="BM10:BM32">ROUND(H10+AB10+AV10,2)</f>
        <v>381.51</v>
      </c>
      <c r="BN10" s="75">
        <f aca="true" t="shared" si="3" ref="BN10:BN32">ROUND(J10+AD10+AX10,2)</f>
        <v>24.96</v>
      </c>
      <c r="BP10" s="70">
        <v>4</v>
      </c>
      <c r="BQ10" s="78">
        <f aca="true" t="shared" si="4" ref="BQ10:BQ32">ROUND(N10+AH10+BB10,2)</f>
        <v>1304.5</v>
      </c>
      <c r="BR10" s="45">
        <f aca="true" t="shared" si="5" ref="BR10:BR32">ROUND(P10+AJ10+BD10,2)</f>
        <v>0</v>
      </c>
      <c r="BS10" s="78">
        <f aca="true" t="shared" si="6" ref="BS10:BS32">ROUND(R10+AL10+BF10,2)</f>
        <v>113.36</v>
      </c>
      <c r="BT10" s="75">
        <f aca="true" t="shared" si="7" ref="BT10:BT32">ROUND(T10+AN10+BH10,2)</f>
        <v>252</v>
      </c>
      <c r="BV10" s="70">
        <v>4</v>
      </c>
      <c r="BW10" s="78">
        <f aca="true" t="shared" si="8" ref="BW10:BW32">BK10+BQ10</f>
        <v>2947.31</v>
      </c>
      <c r="BX10" s="78">
        <f aca="true" t="shared" si="9" ref="BX10:BX32">BL10+BR10</f>
        <v>0</v>
      </c>
      <c r="BY10" s="78">
        <f aca="true" t="shared" si="10" ref="BY10:BY32">BM10+BS10</f>
        <v>494.87</v>
      </c>
      <c r="BZ10" s="78">
        <f aca="true" t="shared" si="11" ref="BZ10:BZ32">BN10+BT10</f>
        <v>276.96</v>
      </c>
    </row>
    <row r="11" spans="2:78" s="39" customFormat="1" ht="12.75">
      <c r="B11" s="70">
        <v>5</v>
      </c>
      <c r="C11" s="532"/>
      <c r="D11" s="43">
        <f>'Расчет Пойк'!C66</f>
        <v>1495.2</v>
      </c>
      <c r="E11" s="122"/>
      <c r="F11" s="43">
        <f>'Расчет Пойк'!G66</f>
        <v>0</v>
      </c>
      <c r="G11" s="58"/>
      <c r="H11" s="43">
        <f>'Расчет Пойк'!K66</f>
        <v>369.6</v>
      </c>
      <c r="I11" s="168"/>
      <c r="J11" s="43">
        <f>'Расчет Пойк'!O66</f>
        <v>0</v>
      </c>
      <c r="K11" s="151"/>
      <c r="L11" s="70">
        <v>5</v>
      </c>
      <c r="M11" s="58"/>
      <c r="N11" s="45">
        <f>'Расчет Пойк'!T66</f>
        <v>974.4</v>
      </c>
      <c r="O11" s="122"/>
      <c r="P11" s="43">
        <v>0</v>
      </c>
      <c r="Q11" s="58"/>
      <c r="R11" s="43">
        <f>'Расчет Пойк'!AC66</f>
        <v>0</v>
      </c>
      <c r="S11" s="68"/>
      <c r="T11" s="43">
        <f>'Расчет Пойк'!AG66</f>
        <v>256.2</v>
      </c>
      <c r="U11" s="151"/>
      <c r="V11" s="70">
        <v>5</v>
      </c>
      <c r="W11" s="58"/>
      <c r="X11" s="43">
        <f>'Расчет Пойк'!AL66</f>
        <v>205.44</v>
      </c>
      <c r="Y11" s="168"/>
      <c r="Z11" s="43">
        <f>'Расчет Пойк'!AR66</f>
        <v>0</v>
      </c>
      <c r="AA11" s="58"/>
      <c r="AB11" s="43">
        <f>'Расчет Пойк'!AV66</f>
        <v>4.8</v>
      </c>
      <c r="AC11" s="527"/>
      <c r="AD11" s="43">
        <f>'Расчет Пойк'!BA66</f>
        <v>29.76</v>
      </c>
      <c r="AF11" s="70">
        <v>5</v>
      </c>
      <c r="AG11" s="58"/>
      <c r="AH11" s="43">
        <f>'Расчет Пойк'!BZ66</f>
        <v>374.4</v>
      </c>
      <c r="AI11" s="58"/>
      <c r="AJ11" s="43">
        <f>'Расчет Пойк'!CF66</f>
        <v>0</v>
      </c>
      <c r="AK11" s="68"/>
      <c r="AL11" s="43">
        <f>'Расчет Пойк'!CJ66</f>
        <v>112.32</v>
      </c>
      <c r="AM11" s="58"/>
      <c r="AN11" s="43">
        <f>'Расчет Пойк'!CO66</f>
        <v>0</v>
      </c>
      <c r="AO11" s="151"/>
      <c r="AP11" s="70">
        <v>5</v>
      </c>
      <c r="AQ11" s="532"/>
      <c r="AR11" s="43">
        <f>'Расчет Пойк'!BF66</f>
        <v>0.006</v>
      </c>
      <c r="AS11" s="532"/>
      <c r="AT11" s="43">
        <v>0</v>
      </c>
      <c r="AU11" s="68"/>
      <c r="AV11" s="342">
        <f>'Расчет Пойк'!BP66</f>
        <v>0.024</v>
      </c>
      <c r="AW11" s="168"/>
      <c r="AX11" s="43">
        <v>0</v>
      </c>
      <c r="AY11" s="344"/>
      <c r="AZ11" s="70">
        <v>5</v>
      </c>
      <c r="BA11" s="532"/>
      <c r="BB11" s="43">
        <f>'Расчет Пойк'!CT66</f>
        <v>0.102</v>
      </c>
      <c r="BC11" s="532"/>
      <c r="BD11" s="43">
        <v>0</v>
      </c>
      <c r="BE11" s="532"/>
      <c r="BF11" s="43">
        <f>'Расчет Пойк'!DD66</f>
        <v>0.09</v>
      </c>
      <c r="BG11" s="532"/>
      <c r="BH11" s="43">
        <v>0</v>
      </c>
      <c r="BJ11" s="70">
        <v>5</v>
      </c>
      <c r="BK11" s="78">
        <f t="shared" si="0"/>
        <v>1700.65</v>
      </c>
      <c r="BL11" s="45">
        <f t="shared" si="1"/>
        <v>0</v>
      </c>
      <c r="BM11" s="78">
        <f t="shared" si="2"/>
        <v>374.42</v>
      </c>
      <c r="BN11" s="75">
        <f t="shared" si="3"/>
        <v>29.76</v>
      </c>
      <c r="BP11" s="70">
        <v>5</v>
      </c>
      <c r="BQ11" s="78">
        <f t="shared" si="4"/>
        <v>1348.9</v>
      </c>
      <c r="BR11" s="45">
        <f t="shared" si="5"/>
        <v>0</v>
      </c>
      <c r="BS11" s="78">
        <f t="shared" si="6"/>
        <v>112.41</v>
      </c>
      <c r="BT11" s="75">
        <f t="shared" si="7"/>
        <v>256.2</v>
      </c>
      <c r="BV11" s="70">
        <v>5</v>
      </c>
      <c r="BW11" s="78">
        <f t="shared" si="8"/>
        <v>3049.55</v>
      </c>
      <c r="BX11" s="78">
        <f t="shared" si="9"/>
        <v>0</v>
      </c>
      <c r="BY11" s="78">
        <f t="shared" si="10"/>
        <v>486.83000000000004</v>
      </c>
      <c r="BZ11" s="78">
        <f t="shared" si="11"/>
        <v>285.96</v>
      </c>
    </row>
    <row r="12" spans="2:78" s="39" customFormat="1" ht="12.75">
      <c r="B12" s="70">
        <v>6</v>
      </c>
      <c r="C12" s="532"/>
      <c r="D12" s="43">
        <f>'Расчет Пойк'!C67</f>
        <v>1764</v>
      </c>
      <c r="E12" s="122"/>
      <c r="F12" s="43">
        <f>'Расчет Пойк'!G67</f>
        <v>0</v>
      </c>
      <c r="G12" s="58"/>
      <c r="H12" s="43">
        <f>'Расчет Пойк'!K67</f>
        <v>386.4</v>
      </c>
      <c r="I12" s="169"/>
      <c r="J12" s="43">
        <f>'Расчет Пойк'!O67</f>
        <v>0</v>
      </c>
      <c r="K12" s="151"/>
      <c r="L12" s="70">
        <v>6</v>
      </c>
      <c r="M12" s="58"/>
      <c r="N12" s="45">
        <f>'Расчет Пойк'!T67</f>
        <v>1230.6</v>
      </c>
      <c r="O12" s="122"/>
      <c r="P12" s="43">
        <v>0</v>
      </c>
      <c r="Q12" s="58"/>
      <c r="R12" s="43">
        <f>'Расчет Пойк'!AC67</f>
        <v>12.6</v>
      </c>
      <c r="S12" s="58"/>
      <c r="T12" s="43">
        <f>'Расчет Пойк'!AG67</f>
        <v>184.8</v>
      </c>
      <c r="U12" s="151"/>
      <c r="V12" s="70">
        <v>6</v>
      </c>
      <c r="W12" s="58"/>
      <c r="X12" s="43">
        <f>'Расчет Пойк'!AL67</f>
        <v>220.8</v>
      </c>
      <c r="Y12" s="168"/>
      <c r="Z12" s="43">
        <f>'Расчет Пойк'!AR67</f>
        <v>0</v>
      </c>
      <c r="AA12" s="58"/>
      <c r="AB12" s="43">
        <f>'Расчет Пойк'!AV67</f>
        <v>4.8</v>
      </c>
      <c r="AC12" s="528"/>
      <c r="AD12" s="43">
        <f>'Расчет Пойк'!BA67</f>
        <v>28.8</v>
      </c>
      <c r="AF12" s="70">
        <v>6</v>
      </c>
      <c r="AG12" s="58"/>
      <c r="AH12" s="43">
        <f>'Расчет Пойк'!BZ67</f>
        <v>420.48</v>
      </c>
      <c r="AI12" s="58"/>
      <c r="AJ12" s="43">
        <f>'Расчет Пойк'!CF67</f>
        <v>0</v>
      </c>
      <c r="AK12" s="58"/>
      <c r="AL12" s="43">
        <f>'Расчет Пойк'!CJ67</f>
        <v>109.44</v>
      </c>
      <c r="AM12" s="58"/>
      <c r="AN12" s="43">
        <f>'Расчет Пойк'!CO67</f>
        <v>0</v>
      </c>
      <c r="AO12" s="151"/>
      <c r="AP12" s="70">
        <v>6</v>
      </c>
      <c r="AQ12" s="532"/>
      <c r="AR12" s="43">
        <f>'Расчет Пойк'!BF67</f>
        <v>0.012</v>
      </c>
      <c r="AS12" s="532"/>
      <c r="AT12" s="43">
        <v>0</v>
      </c>
      <c r="AU12" s="58"/>
      <c r="AV12" s="342">
        <f>'Расчет Пойк'!BP67</f>
        <v>0.024</v>
      </c>
      <c r="AW12" s="168"/>
      <c r="AX12" s="43">
        <v>0</v>
      </c>
      <c r="AY12" s="344"/>
      <c r="AZ12" s="70">
        <v>6</v>
      </c>
      <c r="BA12" s="532"/>
      <c r="BB12" s="43">
        <f>'Расчет Пойк'!CT67</f>
        <v>0.096</v>
      </c>
      <c r="BC12" s="532"/>
      <c r="BD12" s="43">
        <v>0</v>
      </c>
      <c r="BE12" s="532"/>
      <c r="BF12" s="43">
        <f>'Расчет Пойк'!DD67</f>
        <v>0.09</v>
      </c>
      <c r="BG12" s="532"/>
      <c r="BH12" s="43">
        <v>0</v>
      </c>
      <c r="BJ12" s="70">
        <v>6</v>
      </c>
      <c r="BK12" s="78">
        <f t="shared" si="0"/>
        <v>1984.81</v>
      </c>
      <c r="BL12" s="45">
        <f t="shared" si="1"/>
        <v>0</v>
      </c>
      <c r="BM12" s="78">
        <f t="shared" si="2"/>
        <v>391.22</v>
      </c>
      <c r="BN12" s="75">
        <f t="shared" si="3"/>
        <v>28.8</v>
      </c>
      <c r="BP12" s="70">
        <v>6</v>
      </c>
      <c r="BQ12" s="78">
        <f t="shared" si="4"/>
        <v>1651.18</v>
      </c>
      <c r="BR12" s="45">
        <f t="shared" si="5"/>
        <v>0</v>
      </c>
      <c r="BS12" s="78">
        <f t="shared" si="6"/>
        <v>122.13</v>
      </c>
      <c r="BT12" s="75">
        <f t="shared" si="7"/>
        <v>184.8</v>
      </c>
      <c r="BV12" s="70">
        <v>6</v>
      </c>
      <c r="BW12" s="78">
        <f t="shared" si="8"/>
        <v>3635.99</v>
      </c>
      <c r="BX12" s="78">
        <f t="shared" si="9"/>
        <v>0</v>
      </c>
      <c r="BY12" s="78">
        <f t="shared" si="10"/>
        <v>513.35</v>
      </c>
      <c r="BZ12" s="78">
        <f t="shared" si="11"/>
        <v>213.60000000000002</v>
      </c>
    </row>
    <row r="13" spans="2:78" s="39" customFormat="1" ht="12.75">
      <c r="B13" s="70">
        <v>7</v>
      </c>
      <c r="C13" s="532"/>
      <c r="D13" s="43">
        <f>'Расчет Пойк'!C68</f>
        <v>1940.4</v>
      </c>
      <c r="E13" s="122"/>
      <c r="F13" s="43">
        <f>'Расчет Пойк'!G68</f>
        <v>0</v>
      </c>
      <c r="G13" s="58"/>
      <c r="H13" s="43">
        <f>'Расчет Пойк'!K68</f>
        <v>386.4</v>
      </c>
      <c r="I13" s="168"/>
      <c r="J13" s="43">
        <f>'Расчет Пойк'!O68</f>
        <v>0</v>
      </c>
      <c r="K13" s="151"/>
      <c r="L13" s="70">
        <v>7</v>
      </c>
      <c r="M13" s="58"/>
      <c r="N13" s="45">
        <f>'Расчет Пойк'!T68</f>
        <v>1461.6</v>
      </c>
      <c r="O13" s="122"/>
      <c r="P13" s="43">
        <v>0</v>
      </c>
      <c r="Q13" s="58"/>
      <c r="R13" s="43">
        <f>'Расчет Пойк'!AC68</f>
        <v>67.2</v>
      </c>
      <c r="S13" s="68"/>
      <c r="T13" s="43">
        <f>'Расчет Пойк'!AG68</f>
        <v>33.6</v>
      </c>
      <c r="U13" s="151"/>
      <c r="V13" s="70">
        <v>7</v>
      </c>
      <c r="W13" s="58"/>
      <c r="X13" s="43">
        <f>'Расчет Пойк'!AL68</f>
        <v>205.44</v>
      </c>
      <c r="Y13" s="168"/>
      <c r="Z13" s="43">
        <f>'Расчет Пойк'!AR68</f>
        <v>0</v>
      </c>
      <c r="AA13" s="58"/>
      <c r="AB13" s="43">
        <f>'Расчет Пойк'!AV68</f>
        <v>8.64</v>
      </c>
      <c r="AC13" s="527"/>
      <c r="AD13" s="43">
        <f>'Расчет Пойк'!BA68</f>
        <v>22.08</v>
      </c>
      <c r="AF13" s="70">
        <v>7</v>
      </c>
      <c r="AG13" s="58"/>
      <c r="AH13" s="43">
        <f>'Расчет Пойк'!BZ68</f>
        <v>401.28</v>
      </c>
      <c r="AI13" s="58"/>
      <c r="AJ13" s="43">
        <f>'Расчет Пойк'!CF68</f>
        <v>0</v>
      </c>
      <c r="AK13" s="68"/>
      <c r="AL13" s="43">
        <f>'Расчет Пойк'!CJ68</f>
        <v>105.6</v>
      </c>
      <c r="AM13" s="58"/>
      <c r="AN13" s="43">
        <f>'Расчет Пойк'!CO68</f>
        <v>0</v>
      </c>
      <c r="AO13" s="151"/>
      <c r="AP13" s="70">
        <v>7</v>
      </c>
      <c r="AQ13" s="532"/>
      <c r="AR13" s="43">
        <f>'Расчет Пойк'!BF68</f>
        <v>0.012</v>
      </c>
      <c r="AS13" s="532"/>
      <c r="AT13" s="43">
        <v>0</v>
      </c>
      <c r="AU13" s="68"/>
      <c r="AV13" s="342">
        <f>'Расчет Пойк'!BP68</f>
        <v>0.024</v>
      </c>
      <c r="AW13" s="168"/>
      <c r="AX13" s="43">
        <v>0</v>
      </c>
      <c r="AY13" s="344"/>
      <c r="AZ13" s="70">
        <v>7</v>
      </c>
      <c r="BA13" s="532"/>
      <c r="BB13" s="43">
        <f>'Расчет Пойк'!CT68</f>
        <v>0.096</v>
      </c>
      <c r="BC13" s="532"/>
      <c r="BD13" s="43">
        <v>0</v>
      </c>
      <c r="BE13" s="532"/>
      <c r="BF13" s="43">
        <f>'Расчет Пойк'!DD68</f>
        <v>0.084</v>
      </c>
      <c r="BG13" s="532"/>
      <c r="BH13" s="43">
        <v>0</v>
      </c>
      <c r="BJ13" s="70">
        <v>7</v>
      </c>
      <c r="BK13" s="78">
        <f t="shared" si="0"/>
        <v>2145.85</v>
      </c>
      <c r="BL13" s="45">
        <f t="shared" si="1"/>
        <v>0</v>
      </c>
      <c r="BM13" s="78">
        <f t="shared" si="2"/>
        <v>395.06</v>
      </c>
      <c r="BN13" s="75">
        <f t="shared" si="3"/>
        <v>22.08</v>
      </c>
      <c r="BP13" s="70">
        <v>7</v>
      </c>
      <c r="BQ13" s="78">
        <f t="shared" si="4"/>
        <v>1862.98</v>
      </c>
      <c r="BR13" s="45">
        <f t="shared" si="5"/>
        <v>0</v>
      </c>
      <c r="BS13" s="78">
        <f t="shared" si="6"/>
        <v>172.88</v>
      </c>
      <c r="BT13" s="75">
        <f t="shared" si="7"/>
        <v>33.6</v>
      </c>
      <c r="BV13" s="70">
        <v>7</v>
      </c>
      <c r="BW13" s="78">
        <f t="shared" si="8"/>
        <v>4008.83</v>
      </c>
      <c r="BX13" s="78">
        <f t="shared" si="9"/>
        <v>0</v>
      </c>
      <c r="BY13" s="78">
        <f t="shared" si="10"/>
        <v>567.94</v>
      </c>
      <c r="BZ13" s="78">
        <f t="shared" si="11"/>
        <v>55.68</v>
      </c>
    </row>
    <row r="14" spans="2:78" s="39" customFormat="1" ht="12.75">
      <c r="B14" s="70">
        <v>8</v>
      </c>
      <c r="C14" s="261"/>
      <c r="D14" s="43">
        <f>'Расчет Пойк'!C69</f>
        <v>2133.6</v>
      </c>
      <c r="E14" s="122"/>
      <c r="F14" s="43">
        <f>'Расчет Пойк'!G69</f>
        <v>0</v>
      </c>
      <c r="G14" s="58"/>
      <c r="H14" s="43">
        <f>'Расчет Пойк'!K69</f>
        <v>420</v>
      </c>
      <c r="I14" s="169"/>
      <c r="J14" s="43">
        <f>'Расчет Пойк'!O69</f>
        <v>0</v>
      </c>
      <c r="K14" s="151"/>
      <c r="L14" s="70">
        <v>8</v>
      </c>
      <c r="M14" s="58"/>
      <c r="N14" s="45">
        <f>'Расчет Пойк'!T69</f>
        <v>1449</v>
      </c>
      <c r="O14" s="122"/>
      <c r="P14" s="43">
        <v>0</v>
      </c>
      <c r="Q14" s="58"/>
      <c r="R14" s="43">
        <f>'Расчет Пойк'!AC69</f>
        <v>92.4</v>
      </c>
      <c r="S14" s="58"/>
      <c r="T14" s="43">
        <f>'Расчет Пойк'!AG69</f>
        <v>4.2</v>
      </c>
      <c r="U14" s="151"/>
      <c r="V14" s="70">
        <v>8</v>
      </c>
      <c r="W14" s="58"/>
      <c r="X14" s="43">
        <f>'Расчет Пойк'!AL69</f>
        <v>273.6</v>
      </c>
      <c r="Y14" s="168"/>
      <c r="Z14" s="43">
        <f>'Расчет Пойк'!AR69</f>
        <v>0</v>
      </c>
      <c r="AA14" s="58"/>
      <c r="AB14" s="43">
        <f>'Расчет Пойк'!AV69</f>
        <v>30.72</v>
      </c>
      <c r="AC14" s="528"/>
      <c r="AD14" s="43">
        <f>'Расчет Пойк'!BA69</f>
        <v>13.44</v>
      </c>
      <c r="AF14" s="70">
        <v>8</v>
      </c>
      <c r="AG14" s="58"/>
      <c r="AH14" s="43">
        <f>'Расчет Пойк'!BZ69</f>
        <v>447.36</v>
      </c>
      <c r="AI14" s="58"/>
      <c r="AJ14" s="43">
        <f>'Расчет Пойк'!CF69</f>
        <v>0</v>
      </c>
      <c r="AK14" s="58"/>
      <c r="AL14" s="43">
        <f>'Расчет Пойк'!CJ69</f>
        <v>106.56</v>
      </c>
      <c r="AM14" s="58"/>
      <c r="AN14" s="43">
        <f>'Расчет Пойк'!CO69</f>
        <v>0</v>
      </c>
      <c r="AO14" s="151"/>
      <c r="AP14" s="70">
        <v>8</v>
      </c>
      <c r="AQ14" s="261"/>
      <c r="AR14" s="43">
        <f>'Расчет Пойк'!BF69</f>
        <v>0.006</v>
      </c>
      <c r="AS14" s="261"/>
      <c r="AT14" s="43">
        <v>0</v>
      </c>
      <c r="AU14" s="58"/>
      <c r="AV14" s="342">
        <f>'Расчет Пойк'!BP69</f>
        <v>0.03</v>
      </c>
      <c r="AW14" s="168"/>
      <c r="AX14" s="43">
        <v>0</v>
      </c>
      <c r="AY14" s="344"/>
      <c r="AZ14" s="70">
        <v>8</v>
      </c>
      <c r="BA14" s="261"/>
      <c r="BB14" s="43">
        <f>'Расчет Пойк'!CT69</f>
        <v>0.102</v>
      </c>
      <c r="BC14" s="261"/>
      <c r="BD14" s="43">
        <v>0</v>
      </c>
      <c r="BE14" s="261"/>
      <c r="BF14" s="43">
        <f>'Расчет Пойк'!DD69</f>
        <v>0.084</v>
      </c>
      <c r="BG14" s="261"/>
      <c r="BH14" s="43">
        <v>0</v>
      </c>
      <c r="BJ14" s="70">
        <v>8</v>
      </c>
      <c r="BK14" s="78">
        <f t="shared" si="0"/>
        <v>2407.21</v>
      </c>
      <c r="BL14" s="45">
        <f t="shared" si="1"/>
        <v>0</v>
      </c>
      <c r="BM14" s="78">
        <f t="shared" si="2"/>
        <v>450.75</v>
      </c>
      <c r="BN14" s="75">
        <f t="shared" si="3"/>
        <v>13.44</v>
      </c>
      <c r="BP14" s="70">
        <v>8</v>
      </c>
      <c r="BQ14" s="78">
        <f t="shared" si="4"/>
        <v>1896.46</v>
      </c>
      <c r="BR14" s="45">
        <f t="shared" si="5"/>
        <v>0</v>
      </c>
      <c r="BS14" s="78">
        <f t="shared" si="6"/>
        <v>199.04</v>
      </c>
      <c r="BT14" s="75">
        <f t="shared" si="7"/>
        <v>4.2</v>
      </c>
      <c r="BV14" s="70">
        <v>8</v>
      </c>
      <c r="BW14" s="78">
        <f t="shared" si="8"/>
        <v>4303.67</v>
      </c>
      <c r="BX14" s="78">
        <f t="shared" si="9"/>
        <v>0</v>
      </c>
      <c r="BY14" s="78">
        <f t="shared" si="10"/>
        <v>649.79</v>
      </c>
      <c r="BZ14" s="78">
        <f t="shared" si="11"/>
        <v>17.64</v>
      </c>
    </row>
    <row r="15" spans="2:78" s="39" customFormat="1" ht="12.75">
      <c r="B15" s="70">
        <v>9</v>
      </c>
      <c r="C15" s="261"/>
      <c r="D15" s="43">
        <f>'Расчет Пойк'!C70</f>
        <v>2335.2</v>
      </c>
      <c r="E15" s="122"/>
      <c r="F15" s="43">
        <f>'Расчет Пойк'!G70</f>
        <v>0</v>
      </c>
      <c r="G15" s="58"/>
      <c r="H15" s="43">
        <f>'Расчет Пойк'!K70</f>
        <v>478.8</v>
      </c>
      <c r="I15" s="168"/>
      <c r="J15" s="43">
        <f>'Расчет Пойк'!O70</f>
        <v>0</v>
      </c>
      <c r="K15" s="151"/>
      <c r="L15" s="70">
        <v>9</v>
      </c>
      <c r="M15" s="58"/>
      <c r="N15" s="45">
        <f>'Расчет Пойк'!T70</f>
        <v>1612.8</v>
      </c>
      <c r="O15" s="122"/>
      <c r="P15" s="43">
        <v>0</v>
      </c>
      <c r="Q15" s="58"/>
      <c r="R15" s="43">
        <f>'Расчет Пойк'!AC70</f>
        <v>121.8</v>
      </c>
      <c r="S15" s="68"/>
      <c r="T15" s="43">
        <f>'Расчет Пойк'!AG70</f>
        <v>0</v>
      </c>
      <c r="U15" s="151"/>
      <c r="V15" s="70">
        <v>9</v>
      </c>
      <c r="W15" s="58"/>
      <c r="X15" s="43">
        <f>'Расчет Пойк'!AL70</f>
        <v>319.68</v>
      </c>
      <c r="Y15" s="168"/>
      <c r="Z15" s="43">
        <f>'Расчет Пойк'!AR70</f>
        <v>0</v>
      </c>
      <c r="AA15" s="58"/>
      <c r="AB15" s="43">
        <f>'Расчет Пойк'!AV70</f>
        <v>70.08</v>
      </c>
      <c r="AC15" s="527"/>
      <c r="AD15" s="43">
        <f>'Расчет Пойк'!BA70</f>
        <v>0.96</v>
      </c>
      <c r="AF15" s="70">
        <v>9</v>
      </c>
      <c r="AG15" s="58"/>
      <c r="AH15" s="43">
        <f>'Расчет Пойк'!BZ70</f>
        <v>466.56</v>
      </c>
      <c r="AI15" s="58"/>
      <c r="AJ15" s="43">
        <f>'Расчет Пойк'!CF70</f>
        <v>0</v>
      </c>
      <c r="AK15" s="68"/>
      <c r="AL15" s="43">
        <f>'Расчет Пойк'!CJ70</f>
        <v>131.52</v>
      </c>
      <c r="AM15" s="58"/>
      <c r="AN15" s="43">
        <f>'Расчет Пойк'!CO70</f>
        <v>0</v>
      </c>
      <c r="AO15" s="151"/>
      <c r="AP15" s="70">
        <v>9</v>
      </c>
      <c r="AQ15" s="261"/>
      <c r="AR15" s="43">
        <f>'Расчет Пойк'!BF70</f>
        <v>0.012</v>
      </c>
      <c r="AS15" s="261"/>
      <c r="AT15" s="43">
        <v>0</v>
      </c>
      <c r="AU15" s="68"/>
      <c r="AV15" s="342">
        <f>'Расчет Пойк'!BP70</f>
        <v>0.024</v>
      </c>
      <c r="AW15" s="168"/>
      <c r="AX15" s="43">
        <v>0</v>
      </c>
      <c r="AY15" s="344"/>
      <c r="AZ15" s="70">
        <v>9</v>
      </c>
      <c r="BA15" s="261"/>
      <c r="BB15" s="43">
        <f>'Расчет Пойк'!CT70</f>
        <v>0.096</v>
      </c>
      <c r="BC15" s="261"/>
      <c r="BD15" s="43">
        <v>0</v>
      </c>
      <c r="BE15" s="261"/>
      <c r="BF15" s="43">
        <f>'Расчет Пойк'!DD70</f>
        <v>0.09</v>
      </c>
      <c r="BG15" s="261"/>
      <c r="BH15" s="43">
        <v>0</v>
      </c>
      <c r="BJ15" s="70">
        <v>9</v>
      </c>
      <c r="BK15" s="78">
        <f t="shared" si="0"/>
        <v>2654.89</v>
      </c>
      <c r="BL15" s="45">
        <f t="shared" si="1"/>
        <v>0</v>
      </c>
      <c r="BM15" s="78">
        <f t="shared" si="2"/>
        <v>548.9</v>
      </c>
      <c r="BN15" s="75">
        <f t="shared" si="3"/>
        <v>0.96</v>
      </c>
      <c r="BP15" s="70">
        <v>9</v>
      </c>
      <c r="BQ15" s="78">
        <f t="shared" si="4"/>
        <v>2079.46</v>
      </c>
      <c r="BR15" s="45">
        <f t="shared" si="5"/>
        <v>0</v>
      </c>
      <c r="BS15" s="78">
        <f t="shared" si="6"/>
        <v>253.41</v>
      </c>
      <c r="BT15" s="75">
        <f t="shared" si="7"/>
        <v>0</v>
      </c>
      <c r="BV15" s="70">
        <v>9</v>
      </c>
      <c r="BW15" s="78">
        <f t="shared" si="8"/>
        <v>4734.35</v>
      </c>
      <c r="BX15" s="78">
        <f t="shared" si="9"/>
        <v>0</v>
      </c>
      <c r="BY15" s="78">
        <f t="shared" si="10"/>
        <v>802.31</v>
      </c>
      <c r="BZ15" s="78">
        <f t="shared" si="11"/>
        <v>0.96</v>
      </c>
    </row>
    <row r="16" spans="2:78" s="39" customFormat="1" ht="12.75">
      <c r="B16" s="70">
        <v>10</v>
      </c>
      <c r="C16" s="261"/>
      <c r="D16" s="43">
        <f>'Расчет Пойк'!C71</f>
        <v>2427.6</v>
      </c>
      <c r="E16" s="122"/>
      <c r="F16" s="43">
        <f>'Расчет Пойк'!G71</f>
        <v>0</v>
      </c>
      <c r="G16" s="58"/>
      <c r="H16" s="43">
        <f>'Расчет Пойк'!K71</f>
        <v>491.4</v>
      </c>
      <c r="I16" s="169"/>
      <c r="J16" s="43">
        <f>'Расчет Пойк'!O71</f>
        <v>0</v>
      </c>
      <c r="K16" s="151"/>
      <c r="L16" s="70">
        <v>10</v>
      </c>
      <c r="M16" s="58"/>
      <c r="N16" s="45">
        <f>'Расчет Пойк'!T71</f>
        <v>1726.2</v>
      </c>
      <c r="O16" s="122"/>
      <c r="P16" s="43">
        <v>0</v>
      </c>
      <c r="Q16" s="58"/>
      <c r="R16" s="43">
        <f>'Расчет Пойк'!AC71</f>
        <v>142.8</v>
      </c>
      <c r="S16" s="58"/>
      <c r="T16" s="43">
        <f>'Расчет Пойк'!AG71</f>
        <v>0</v>
      </c>
      <c r="U16" s="151"/>
      <c r="V16" s="70">
        <v>10</v>
      </c>
      <c r="W16" s="58"/>
      <c r="X16" s="43">
        <f>'Расчет Пойк'!AL71</f>
        <v>349.44</v>
      </c>
      <c r="Y16" s="168"/>
      <c r="Z16" s="43">
        <f>'Расчет Пойк'!AR71</f>
        <v>0</v>
      </c>
      <c r="AA16" s="58"/>
      <c r="AB16" s="43">
        <f>'Расчет Пойк'!AV71</f>
        <v>79.68</v>
      </c>
      <c r="AC16" s="528"/>
      <c r="AD16" s="43">
        <f>'Расчет Пойк'!BA71</f>
        <v>0</v>
      </c>
      <c r="AF16" s="70">
        <v>10</v>
      </c>
      <c r="AG16" s="58"/>
      <c r="AH16" s="43">
        <f>'Расчет Пойк'!BZ71</f>
        <v>466.56</v>
      </c>
      <c r="AI16" s="58"/>
      <c r="AJ16" s="43">
        <f>'Расчет Пойк'!CF71</f>
        <v>0</v>
      </c>
      <c r="AK16" s="58"/>
      <c r="AL16" s="43">
        <f>'Расчет Пойк'!CJ71</f>
        <v>120.96</v>
      </c>
      <c r="AM16" s="58"/>
      <c r="AN16" s="43">
        <f>'Расчет Пойк'!CO71</f>
        <v>0</v>
      </c>
      <c r="AO16" s="151"/>
      <c r="AP16" s="70">
        <v>10</v>
      </c>
      <c r="AQ16" s="261"/>
      <c r="AR16" s="43">
        <f>'Расчет Пойк'!BF71</f>
        <v>0.006</v>
      </c>
      <c r="AS16" s="261"/>
      <c r="AT16" s="43">
        <v>0</v>
      </c>
      <c r="AU16" s="58"/>
      <c r="AV16" s="342">
        <f>'Расчет Пойк'!BP71</f>
        <v>0.024</v>
      </c>
      <c r="AW16" s="168"/>
      <c r="AX16" s="43">
        <v>0</v>
      </c>
      <c r="AY16" s="344"/>
      <c r="AZ16" s="70">
        <v>10</v>
      </c>
      <c r="BA16" s="261"/>
      <c r="BB16" s="43">
        <f>'Расчет Пойк'!CT71</f>
        <v>0.096</v>
      </c>
      <c r="BC16" s="261"/>
      <c r="BD16" s="43">
        <v>0</v>
      </c>
      <c r="BE16" s="261"/>
      <c r="BF16" s="43">
        <f>'Расчет Пойк'!DD71</f>
        <v>0.084</v>
      </c>
      <c r="BG16" s="261"/>
      <c r="BH16" s="43">
        <v>0</v>
      </c>
      <c r="BJ16" s="70">
        <v>10</v>
      </c>
      <c r="BK16" s="78">
        <f t="shared" si="0"/>
        <v>2777.05</v>
      </c>
      <c r="BL16" s="45">
        <f t="shared" si="1"/>
        <v>0</v>
      </c>
      <c r="BM16" s="78">
        <f t="shared" si="2"/>
        <v>571.1</v>
      </c>
      <c r="BN16" s="75">
        <f t="shared" si="3"/>
        <v>0</v>
      </c>
      <c r="BP16" s="70">
        <v>10</v>
      </c>
      <c r="BQ16" s="78">
        <f t="shared" si="4"/>
        <v>2192.86</v>
      </c>
      <c r="BR16" s="45">
        <f t="shared" si="5"/>
        <v>0</v>
      </c>
      <c r="BS16" s="78">
        <f t="shared" si="6"/>
        <v>263.84</v>
      </c>
      <c r="BT16" s="75">
        <f t="shared" si="7"/>
        <v>0</v>
      </c>
      <c r="BV16" s="70">
        <v>10</v>
      </c>
      <c r="BW16" s="78">
        <f t="shared" si="8"/>
        <v>4969.91</v>
      </c>
      <c r="BX16" s="78">
        <f t="shared" si="9"/>
        <v>0</v>
      </c>
      <c r="BY16" s="78">
        <f t="shared" si="10"/>
        <v>834.94</v>
      </c>
      <c r="BZ16" s="78">
        <f t="shared" si="11"/>
        <v>0</v>
      </c>
    </row>
    <row r="17" spans="2:78" s="39" customFormat="1" ht="12.75">
      <c r="B17" s="70">
        <v>11</v>
      </c>
      <c r="C17" s="261"/>
      <c r="D17" s="43">
        <f>'Расчет Пойк'!C72</f>
        <v>2444.4</v>
      </c>
      <c r="E17" s="122"/>
      <c r="F17" s="43">
        <f>'Расчет Пойк'!G72</f>
        <v>0</v>
      </c>
      <c r="G17" s="58"/>
      <c r="H17" s="43">
        <f>'Расчет Пойк'!K72</f>
        <v>525</v>
      </c>
      <c r="I17" s="168"/>
      <c r="J17" s="43">
        <f>'Расчет Пойк'!O72</f>
        <v>0</v>
      </c>
      <c r="K17" s="151"/>
      <c r="L17" s="70">
        <v>11</v>
      </c>
      <c r="M17" s="58"/>
      <c r="N17" s="45">
        <f>'Расчет Пойк'!T72</f>
        <v>1759.8</v>
      </c>
      <c r="O17" s="122"/>
      <c r="P17" s="43">
        <v>0</v>
      </c>
      <c r="Q17" s="58"/>
      <c r="R17" s="43">
        <f>'Расчет Пойк'!AC72</f>
        <v>159.6</v>
      </c>
      <c r="S17" s="68"/>
      <c r="T17" s="43">
        <f>'Расчет Пойк'!AG72</f>
        <v>0</v>
      </c>
      <c r="U17" s="151"/>
      <c r="V17" s="70">
        <v>11</v>
      </c>
      <c r="W17" s="58"/>
      <c r="X17" s="43">
        <f>'Расчет Пойк'!AL72</f>
        <v>288</v>
      </c>
      <c r="Y17" s="168"/>
      <c r="Z17" s="43">
        <f>'Расчет Пойк'!AR72</f>
        <v>0</v>
      </c>
      <c r="AA17" s="58"/>
      <c r="AB17" s="43">
        <f>'Расчет Пойк'!AV72</f>
        <v>48</v>
      </c>
      <c r="AC17" s="527"/>
      <c r="AD17" s="43">
        <f>'Расчет Пойк'!BA72</f>
        <v>0.96</v>
      </c>
      <c r="AF17" s="70">
        <v>11</v>
      </c>
      <c r="AG17" s="58"/>
      <c r="AH17" s="43">
        <f>'Расчет Пойк'!BZ72</f>
        <v>456.96</v>
      </c>
      <c r="AI17" s="58"/>
      <c r="AJ17" s="43">
        <f>'Расчет Пойк'!CF72</f>
        <v>0</v>
      </c>
      <c r="AK17" s="68"/>
      <c r="AL17" s="43">
        <f>'Расчет Пойк'!CJ72</f>
        <v>128.64</v>
      </c>
      <c r="AM17" s="58"/>
      <c r="AN17" s="43">
        <f>'Расчет Пойк'!CO72</f>
        <v>0</v>
      </c>
      <c r="AO17" s="151"/>
      <c r="AP17" s="70">
        <v>11</v>
      </c>
      <c r="AQ17" s="261"/>
      <c r="AR17" s="43">
        <f>'Расчет Пойк'!BF72</f>
        <v>0.012</v>
      </c>
      <c r="AS17" s="261"/>
      <c r="AT17" s="43">
        <v>0</v>
      </c>
      <c r="AU17" s="68"/>
      <c r="AV17" s="342">
        <f>'Расчет Пойк'!BP72</f>
        <v>0.024</v>
      </c>
      <c r="AW17" s="168"/>
      <c r="AX17" s="43">
        <v>0</v>
      </c>
      <c r="AY17" s="344"/>
      <c r="AZ17" s="70">
        <v>11</v>
      </c>
      <c r="BA17" s="261"/>
      <c r="BB17" s="43">
        <f>'Расчет Пойк'!CT72</f>
        <v>0.102</v>
      </c>
      <c r="BC17" s="261"/>
      <c r="BD17" s="43">
        <v>0</v>
      </c>
      <c r="BE17" s="261"/>
      <c r="BF17" s="43">
        <f>'Расчет Пойк'!DD72</f>
        <v>0.084</v>
      </c>
      <c r="BG17" s="261"/>
      <c r="BH17" s="43">
        <v>0</v>
      </c>
      <c r="BJ17" s="70">
        <v>11</v>
      </c>
      <c r="BK17" s="78">
        <f t="shared" si="0"/>
        <v>2732.41</v>
      </c>
      <c r="BL17" s="45">
        <f t="shared" si="1"/>
        <v>0</v>
      </c>
      <c r="BM17" s="78">
        <f t="shared" si="2"/>
        <v>573.02</v>
      </c>
      <c r="BN17" s="75">
        <f t="shared" si="3"/>
        <v>0.96</v>
      </c>
      <c r="BP17" s="70">
        <v>11</v>
      </c>
      <c r="BQ17" s="78">
        <f t="shared" si="4"/>
        <v>2216.86</v>
      </c>
      <c r="BR17" s="45">
        <f t="shared" si="5"/>
        <v>0</v>
      </c>
      <c r="BS17" s="78">
        <f t="shared" si="6"/>
        <v>288.32</v>
      </c>
      <c r="BT17" s="75">
        <f t="shared" si="7"/>
        <v>0</v>
      </c>
      <c r="BV17" s="70">
        <v>11</v>
      </c>
      <c r="BW17" s="78">
        <f t="shared" si="8"/>
        <v>4949.27</v>
      </c>
      <c r="BX17" s="78">
        <f t="shared" si="9"/>
        <v>0</v>
      </c>
      <c r="BY17" s="78">
        <f t="shared" si="10"/>
        <v>861.3399999999999</v>
      </c>
      <c r="BZ17" s="78">
        <f t="shared" si="11"/>
        <v>0.96</v>
      </c>
    </row>
    <row r="18" spans="2:78" s="39" customFormat="1" ht="12.75">
      <c r="B18" s="70">
        <v>12</v>
      </c>
      <c r="C18" s="261"/>
      <c r="D18" s="43">
        <f>'Расчет Пойк'!C73</f>
        <v>2461.2</v>
      </c>
      <c r="E18" s="122"/>
      <c r="F18" s="43">
        <f>'Расчет Пойк'!G73</f>
        <v>0</v>
      </c>
      <c r="G18" s="58"/>
      <c r="H18" s="43">
        <f>'Расчет Пойк'!K73</f>
        <v>508.2</v>
      </c>
      <c r="I18" s="169"/>
      <c r="J18" s="43">
        <f>'Расчет Пойк'!O73</f>
        <v>0</v>
      </c>
      <c r="K18" s="151"/>
      <c r="L18" s="70">
        <v>12</v>
      </c>
      <c r="M18" s="58"/>
      <c r="N18" s="45">
        <f>'Расчет Пойк'!T73</f>
        <v>1919.4</v>
      </c>
      <c r="O18" s="122"/>
      <c r="P18" s="43">
        <v>0</v>
      </c>
      <c r="Q18" s="58"/>
      <c r="R18" s="43">
        <f>'Расчет Пойк'!AC73</f>
        <v>218.4</v>
      </c>
      <c r="S18" s="58"/>
      <c r="T18" s="43">
        <f>'Расчет Пойк'!AG73</f>
        <v>0</v>
      </c>
      <c r="U18" s="151"/>
      <c r="V18" s="70">
        <v>12</v>
      </c>
      <c r="W18" s="58"/>
      <c r="X18" s="43">
        <f>'Расчет Пойк'!AL73</f>
        <v>336</v>
      </c>
      <c r="Y18" s="168"/>
      <c r="Z18" s="43">
        <f>'Расчет Пойк'!AR73</f>
        <v>0</v>
      </c>
      <c r="AA18" s="58"/>
      <c r="AB18" s="43">
        <f>'Расчет Пойк'!AV73</f>
        <v>58.56</v>
      </c>
      <c r="AC18" s="528"/>
      <c r="AD18" s="43">
        <f>'Расчет Пойк'!BA73</f>
        <v>0.96</v>
      </c>
      <c r="AF18" s="70">
        <v>12</v>
      </c>
      <c r="AG18" s="58"/>
      <c r="AH18" s="43">
        <f>'Расчет Пойк'!BZ73</f>
        <v>454.08</v>
      </c>
      <c r="AI18" s="58"/>
      <c r="AJ18" s="43">
        <f>'Расчет Пойк'!CF73</f>
        <v>0</v>
      </c>
      <c r="AK18" s="58"/>
      <c r="AL18" s="43">
        <f>'Расчет Пойк'!CJ73</f>
        <v>123.84</v>
      </c>
      <c r="AM18" s="58"/>
      <c r="AN18" s="43">
        <f>'Расчет Пойк'!CO73</f>
        <v>0</v>
      </c>
      <c r="AO18" s="151"/>
      <c r="AP18" s="70">
        <v>12</v>
      </c>
      <c r="AQ18" s="261"/>
      <c r="AR18" s="43">
        <f>'Расчет Пойк'!BF73</f>
        <v>0.006</v>
      </c>
      <c r="AS18" s="261"/>
      <c r="AT18" s="43">
        <v>0</v>
      </c>
      <c r="AU18" s="58"/>
      <c r="AV18" s="342">
        <f>'Расчет Пойк'!BP73</f>
        <v>0.03</v>
      </c>
      <c r="AW18" s="168"/>
      <c r="AX18" s="43">
        <v>0</v>
      </c>
      <c r="AY18" s="344"/>
      <c r="AZ18" s="70">
        <v>12</v>
      </c>
      <c r="BA18" s="261"/>
      <c r="BB18" s="43">
        <f>'Расчет Пойк'!CT73</f>
        <v>0.096</v>
      </c>
      <c r="BC18" s="261"/>
      <c r="BD18" s="43">
        <v>0</v>
      </c>
      <c r="BE18" s="261"/>
      <c r="BF18" s="43">
        <f>'Расчет Пойк'!DD73</f>
        <v>0.084</v>
      </c>
      <c r="BG18" s="261"/>
      <c r="BH18" s="43">
        <v>0</v>
      </c>
      <c r="BJ18" s="70">
        <v>12</v>
      </c>
      <c r="BK18" s="78">
        <f t="shared" si="0"/>
        <v>2797.21</v>
      </c>
      <c r="BL18" s="45">
        <f t="shared" si="1"/>
        <v>0</v>
      </c>
      <c r="BM18" s="78">
        <f t="shared" si="2"/>
        <v>566.79</v>
      </c>
      <c r="BN18" s="75">
        <f t="shared" si="3"/>
        <v>0.96</v>
      </c>
      <c r="BP18" s="70">
        <v>12</v>
      </c>
      <c r="BQ18" s="78">
        <f t="shared" si="4"/>
        <v>2373.58</v>
      </c>
      <c r="BR18" s="45">
        <f t="shared" si="5"/>
        <v>0</v>
      </c>
      <c r="BS18" s="78">
        <f t="shared" si="6"/>
        <v>342.32</v>
      </c>
      <c r="BT18" s="75">
        <f t="shared" si="7"/>
        <v>0</v>
      </c>
      <c r="BV18" s="70">
        <v>12</v>
      </c>
      <c r="BW18" s="78">
        <f t="shared" si="8"/>
        <v>5170.79</v>
      </c>
      <c r="BX18" s="78">
        <f t="shared" si="9"/>
        <v>0</v>
      </c>
      <c r="BY18" s="78">
        <f t="shared" si="10"/>
        <v>909.1099999999999</v>
      </c>
      <c r="BZ18" s="78">
        <f t="shared" si="11"/>
        <v>0.96</v>
      </c>
    </row>
    <row r="19" spans="2:78" s="39" customFormat="1" ht="12.75">
      <c r="B19" s="70">
        <v>13</v>
      </c>
      <c r="C19" s="261"/>
      <c r="D19" s="43">
        <f>'Расчет Пойк'!C74</f>
        <v>2406.6</v>
      </c>
      <c r="E19" s="122"/>
      <c r="F19" s="43">
        <f>'Расчет Пойк'!G74</f>
        <v>0</v>
      </c>
      <c r="G19" s="58"/>
      <c r="H19" s="43">
        <f>'Расчет Пойк'!K74</f>
        <v>491.4</v>
      </c>
      <c r="I19" s="168"/>
      <c r="J19" s="43">
        <f>'Расчет Пойк'!O74</f>
        <v>0</v>
      </c>
      <c r="K19" s="151"/>
      <c r="L19" s="70">
        <v>13</v>
      </c>
      <c r="M19" s="58"/>
      <c r="N19" s="45">
        <f>'Расчет Пойк'!T74</f>
        <v>1873.2</v>
      </c>
      <c r="O19" s="122"/>
      <c r="P19" s="43">
        <v>0</v>
      </c>
      <c r="Q19" s="58"/>
      <c r="R19" s="43">
        <f>'Расчет Пойк'!AC74</f>
        <v>151.2</v>
      </c>
      <c r="S19" s="68"/>
      <c r="T19" s="43">
        <f>'Расчет Пойк'!AG74</f>
        <v>0</v>
      </c>
      <c r="U19" s="151"/>
      <c r="V19" s="70">
        <v>13</v>
      </c>
      <c r="W19" s="58"/>
      <c r="X19" s="43">
        <f>'Расчет Пойк'!AL74</f>
        <v>297.6</v>
      </c>
      <c r="Y19" s="168"/>
      <c r="Z19" s="43">
        <f>'Расчет Пойк'!AR74</f>
        <v>0</v>
      </c>
      <c r="AA19" s="58"/>
      <c r="AB19" s="43">
        <f>'Расчет Пойк'!AV74</f>
        <v>71.04</v>
      </c>
      <c r="AC19" s="527"/>
      <c r="AD19" s="43">
        <f>'Расчет Пойк'!BA74</f>
        <v>0</v>
      </c>
      <c r="AF19" s="70">
        <v>13</v>
      </c>
      <c r="AG19" s="58"/>
      <c r="AH19" s="43">
        <f>'Расчет Пойк'!BZ74</f>
        <v>439.68</v>
      </c>
      <c r="AI19" s="58"/>
      <c r="AJ19" s="43">
        <f>'Расчет Пойк'!CF74</f>
        <v>0</v>
      </c>
      <c r="AK19" s="68"/>
      <c r="AL19" s="43">
        <f>'Расчет Пойк'!CJ74</f>
        <v>115.2</v>
      </c>
      <c r="AM19" s="58"/>
      <c r="AN19" s="43">
        <f>'Расчет Пойк'!CO74</f>
        <v>0</v>
      </c>
      <c r="AO19" s="151"/>
      <c r="AP19" s="70">
        <v>13</v>
      </c>
      <c r="AQ19" s="261"/>
      <c r="AR19" s="43">
        <f>'Расчет Пойк'!BF74</f>
        <v>0.012</v>
      </c>
      <c r="AS19" s="261"/>
      <c r="AT19" s="43">
        <v>0</v>
      </c>
      <c r="AU19" s="68"/>
      <c r="AV19" s="342">
        <f>'Расчет Пойк'!BP74</f>
        <v>0.024</v>
      </c>
      <c r="AW19" s="168"/>
      <c r="AX19" s="43">
        <v>0</v>
      </c>
      <c r="AY19" s="344"/>
      <c r="AZ19" s="70">
        <v>13</v>
      </c>
      <c r="BA19" s="261"/>
      <c r="BB19" s="43">
        <f>'Расчет Пойк'!CT74</f>
        <v>0.096</v>
      </c>
      <c r="BC19" s="261"/>
      <c r="BD19" s="43">
        <v>0</v>
      </c>
      <c r="BE19" s="261"/>
      <c r="BF19" s="43">
        <f>'Расчет Пойк'!DD74</f>
        <v>0.084</v>
      </c>
      <c r="BG19" s="261"/>
      <c r="BH19" s="43">
        <v>0</v>
      </c>
      <c r="BJ19" s="70">
        <v>13</v>
      </c>
      <c r="BK19" s="78">
        <f t="shared" si="0"/>
        <v>2704.21</v>
      </c>
      <c r="BL19" s="45">
        <f t="shared" si="1"/>
        <v>0</v>
      </c>
      <c r="BM19" s="78">
        <f t="shared" si="2"/>
        <v>562.46</v>
      </c>
      <c r="BN19" s="75">
        <f t="shared" si="3"/>
        <v>0</v>
      </c>
      <c r="BP19" s="70">
        <v>13</v>
      </c>
      <c r="BQ19" s="78">
        <f t="shared" si="4"/>
        <v>2312.98</v>
      </c>
      <c r="BR19" s="45">
        <f t="shared" si="5"/>
        <v>0</v>
      </c>
      <c r="BS19" s="78">
        <f t="shared" si="6"/>
        <v>266.48</v>
      </c>
      <c r="BT19" s="75">
        <f t="shared" si="7"/>
        <v>0</v>
      </c>
      <c r="BV19" s="70">
        <v>13</v>
      </c>
      <c r="BW19" s="78">
        <f t="shared" si="8"/>
        <v>5017.1900000000005</v>
      </c>
      <c r="BX19" s="78">
        <f t="shared" si="9"/>
        <v>0</v>
      </c>
      <c r="BY19" s="78">
        <f t="shared" si="10"/>
        <v>828.94</v>
      </c>
      <c r="BZ19" s="78">
        <f t="shared" si="11"/>
        <v>0</v>
      </c>
    </row>
    <row r="20" spans="2:78" s="39" customFormat="1" ht="12.75">
      <c r="B20" s="70">
        <v>14</v>
      </c>
      <c r="C20" s="261"/>
      <c r="D20" s="43">
        <f>'Расчет Пойк'!C75</f>
        <v>2398.2</v>
      </c>
      <c r="E20" s="122"/>
      <c r="F20" s="43">
        <f>'Расчет Пойк'!G75</f>
        <v>0</v>
      </c>
      <c r="G20" s="58"/>
      <c r="H20" s="43">
        <f>'Расчет Пойк'!K75</f>
        <v>495.6</v>
      </c>
      <c r="I20" s="169"/>
      <c r="J20" s="43">
        <f>'Расчет Пойк'!O75</f>
        <v>0</v>
      </c>
      <c r="K20" s="151"/>
      <c r="L20" s="70">
        <v>14</v>
      </c>
      <c r="M20" s="58"/>
      <c r="N20" s="45">
        <f>'Расчет Пойк'!T75</f>
        <v>1835.4</v>
      </c>
      <c r="O20" s="122"/>
      <c r="P20" s="43">
        <v>0</v>
      </c>
      <c r="Q20" s="58"/>
      <c r="R20" s="43">
        <f>'Расчет Пойк'!AC75</f>
        <v>159.6</v>
      </c>
      <c r="S20" s="58"/>
      <c r="T20" s="43">
        <f>'Расчет Пойк'!AG75</f>
        <v>0</v>
      </c>
      <c r="U20" s="151"/>
      <c r="V20" s="70">
        <v>14</v>
      </c>
      <c r="W20" s="58"/>
      <c r="X20" s="43">
        <f>'Расчет Пойк'!AL75</f>
        <v>342.72</v>
      </c>
      <c r="Y20" s="168"/>
      <c r="Z20" s="43">
        <f>'Расчет Пойк'!AR75</f>
        <v>0</v>
      </c>
      <c r="AA20" s="58"/>
      <c r="AB20" s="43">
        <f>'Расчет Пойк'!AV75</f>
        <v>76.8</v>
      </c>
      <c r="AC20" s="528"/>
      <c r="AD20" s="43">
        <f>'Расчет Пойк'!BA75</f>
        <v>0</v>
      </c>
      <c r="AF20" s="70">
        <v>14</v>
      </c>
      <c r="AG20" s="58"/>
      <c r="AH20" s="43">
        <f>'Расчет Пойк'!BZ75</f>
        <v>436.8</v>
      </c>
      <c r="AI20" s="58"/>
      <c r="AJ20" s="43">
        <f>'Расчет Пойк'!CF75</f>
        <v>0</v>
      </c>
      <c r="AK20" s="58"/>
      <c r="AL20" s="43">
        <f>'Расчет Пойк'!CJ75</f>
        <v>113.28</v>
      </c>
      <c r="AM20" s="58"/>
      <c r="AN20" s="43">
        <f>'Расчет Пойк'!CO75</f>
        <v>0</v>
      </c>
      <c r="AO20" s="151"/>
      <c r="AP20" s="70">
        <v>14</v>
      </c>
      <c r="AQ20" s="261"/>
      <c r="AR20" s="43">
        <f>'Расчет Пойк'!BF75</f>
        <v>0.006</v>
      </c>
      <c r="AS20" s="261"/>
      <c r="AT20" s="43">
        <v>0</v>
      </c>
      <c r="AU20" s="58"/>
      <c r="AV20" s="342">
        <f>'Расчет Пойк'!BP75</f>
        <v>0.024</v>
      </c>
      <c r="AW20" s="168"/>
      <c r="AX20" s="43">
        <v>0</v>
      </c>
      <c r="AY20" s="344"/>
      <c r="AZ20" s="70">
        <v>14</v>
      </c>
      <c r="BA20" s="261"/>
      <c r="BB20" s="43">
        <f>'Расчет Пойк'!CT75</f>
        <v>0.096</v>
      </c>
      <c r="BC20" s="261"/>
      <c r="BD20" s="43">
        <v>0</v>
      </c>
      <c r="BE20" s="261"/>
      <c r="BF20" s="43">
        <f>'Расчет Пойк'!DD75</f>
        <v>0.09</v>
      </c>
      <c r="BG20" s="261"/>
      <c r="BH20" s="43">
        <v>0</v>
      </c>
      <c r="BJ20" s="70">
        <v>14</v>
      </c>
      <c r="BK20" s="78">
        <f t="shared" si="0"/>
        <v>2740.93</v>
      </c>
      <c r="BL20" s="45">
        <f t="shared" si="1"/>
        <v>0</v>
      </c>
      <c r="BM20" s="78">
        <f t="shared" si="2"/>
        <v>572.42</v>
      </c>
      <c r="BN20" s="75">
        <f t="shared" si="3"/>
        <v>0</v>
      </c>
      <c r="BP20" s="70">
        <v>14</v>
      </c>
      <c r="BQ20" s="78">
        <f t="shared" si="4"/>
        <v>2272.3</v>
      </c>
      <c r="BR20" s="45">
        <f t="shared" si="5"/>
        <v>0</v>
      </c>
      <c r="BS20" s="78">
        <f t="shared" si="6"/>
        <v>272.97</v>
      </c>
      <c r="BT20" s="75">
        <f t="shared" si="7"/>
        <v>0</v>
      </c>
      <c r="BV20" s="70">
        <v>14</v>
      </c>
      <c r="BW20" s="78">
        <f t="shared" si="8"/>
        <v>5013.23</v>
      </c>
      <c r="BX20" s="78">
        <f t="shared" si="9"/>
        <v>0</v>
      </c>
      <c r="BY20" s="78">
        <f t="shared" si="10"/>
        <v>845.39</v>
      </c>
      <c r="BZ20" s="78">
        <f t="shared" si="11"/>
        <v>0</v>
      </c>
    </row>
    <row r="21" spans="2:78" s="39" customFormat="1" ht="12.75">
      <c r="B21" s="70">
        <v>15</v>
      </c>
      <c r="C21" s="261"/>
      <c r="D21" s="43">
        <f>'Расчет Пойк'!C76</f>
        <v>2402.4</v>
      </c>
      <c r="E21" s="122"/>
      <c r="F21" s="43">
        <f>'Расчет Пойк'!G76</f>
        <v>0</v>
      </c>
      <c r="G21" s="58"/>
      <c r="H21" s="43">
        <f>'Расчет Пойк'!K76</f>
        <v>499.8</v>
      </c>
      <c r="I21" s="168"/>
      <c r="J21" s="43">
        <f>'Расчет Пойк'!O76</f>
        <v>0</v>
      </c>
      <c r="K21" s="151"/>
      <c r="L21" s="70">
        <v>15</v>
      </c>
      <c r="M21" s="58"/>
      <c r="N21" s="45">
        <f>'Расчет Пойк'!T76</f>
        <v>1831.2</v>
      </c>
      <c r="O21" s="122"/>
      <c r="P21" s="43">
        <v>0</v>
      </c>
      <c r="Q21" s="58"/>
      <c r="R21" s="43">
        <f>'Расчет Пойк'!AC76</f>
        <v>155.4</v>
      </c>
      <c r="S21" s="68"/>
      <c r="T21" s="43">
        <f>'Расчет Пойк'!AG76</f>
        <v>0</v>
      </c>
      <c r="U21" s="151"/>
      <c r="V21" s="70">
        <v>15</v>
      </c>
      <c r="W21" s="58"/>
      <c r="X21" s="43">
        <f>'Расчет Пойк'!AL76</f>
        <v>351.36</v>
      </c>
      <c r="Y21" s="168"/>
      <c r="Z21" s="43">
        <f>'Расчет Пойк'!AR76</f>
        <v>0</v>
      </c>
      <c r="AA21" s="58"/>
      <c r="AB21" s="43">
        <f>'Расчет Пойк'!AV76</f>
        <v>74.88</v>
      </c>
      <c r="AC21" s="527"/>
      <c r="AD21" s="43">
        <f>'Расчет Пойк'!BA76</f>
        <v>0</v>
      </c>
      <c r="AF21" s="70">
        <v>15</v>
      </c>
      <c r="AG21" s="58"/>
      <c r="AH21" s="43">
        <f>'Расчет Пойк'!BZ76</f>
        <v>460.8</v>
      </c>
      <c r="AI21" s="58"/>
      <c r="AJ21" s="43">
        <f>'Расчет Пойк'!CF76</f>
        <v>0</v>
      </c>
      <c r="AK21" s="68"/>
      <c r="AL21" s="43">
        <f>'Расчет Пойк'!CJ76</f>
        <v>123.84</v>
      </c>
      <c r="AM21" s="58"/>
      <c r="AN21" s="43">
        <f>'Расчет Пойк'!CO76</f>
        <v>0</v>
      </c>
      <c r="AO21" s="151"/>
      <c r="AP21" s="70">
        <v>15</v>
      </c>
      <c r="AQ21" s="261"/>
      <c r="AR21" s="43">
        <f>'Расчет Пойк'!BF76</f>
        <v>0.012</v>
      </c>
      <c r="AS21" s="261"/>
      <c r="AT21" s="43">
        <v>0</v>
      </c>
      <c r="AU21" s="68"/>
      <c r="AV21" s="342">
        <f>'Расчет Пойк'!BP76</f>
        <v>0.024</v>
      </c>
      <c r="AW21" s="168"/>
      <c r="AX21" s="43">
        <v>0</v>
      </c>
      <c r="AY21" s="344"/>
      <c r="AZ21" s="70">
        <v>15</v>
      </c>
      <c r="BA21" s="261"/>
      <c r="BB21" s="43">
        <f>'Расчет Пойк'!CT76</f>
        <v>0.102</v>
      </c>
      <c r="BC21" s="261"/>
      <c r="BD21" s="43">
        <v>0</v>
      </c>
      <c r="BE21" s="261"/>
      <c r="BF21" s="43">
        <f>'Расчет Пойк'!DD76</f>
        <v>0.084</v>
      </c>
      <c r="BG21" s="261"/>
      <c r="BH21" s="43">
        <v>0</v>
      </c>
      <c r="BJ21" s="70">
        <v>15</v>
      </c>
      <c r="BK21" s="78">
        <f t="shared" si="0"/>
        <v>2753.77</v>
      </c>
      <c r="BL21" s="45">
        <f t="shared" si="1"/>
        <v>0</v>
      </c>
      <c r="BM21" s="78">
        <f t="shared" si="2"/>
        <v>574.7</v>
      </c>
      <c r="BN21" s="75">
        <f t="shared" si="3"/>
        <v>0</v>
      </c>
      <c r="BP21" s="70">
        <v>15</v>
      </c>
      <c r="BQ21" s="78">
        <f t="shared" si="4"/>
        <v>2292.1</v>
      </c>
      <c r="BR21" s="45">
        <f t="shared" si="5"/>
        <v>0</v>
      </c>
      <c r="BS21" s="78">
        <f t="shared" si="6"/>
        <v>279.32</v>
      </c>
      <c r="BT21" s="75">
        <f t="shared" si="7"/>
        <v>0</v>
      </c>
      <c r="BV21" s="70">
        <v>15</v>
      </c>
      <c r="BW21" s="78">
        <f t="shared" si="8"/>
        <v>5045.87</v>
      </c>
      <c r="BX21" s="78">
        <f t="shared" si="9"/>
        <v>0</v>
      </c>
      <c r="BY21" s="78">
        <f t="shared" si="10"/>
        <v>854.02</v>
      </c>
      <c r="BZ21" s="78">
        <f t="shared" si="11"/>
        <v>0</v>
      </c>
    </row>
    <row r="22" spans="2:78" s="39" customFormat="1" ht="12.75">
      <c r="B22" s="70">
        <v>16</v>
      </c>
      <c r="C22" s="261"/>
      <c r="D22" s="43">
        <f>'Расчет Пойк'!C77</f>
        <v>2499</v>
      </c>
      <c r="E22" s="122"/>
      <c r="F22" s="43">
        <f>'Расчет Пойк'!G77</f>
        <v>0</v>
      </c>
      <c r="G22" s="58"/>
      <c r="H22" s="43">
        <f>'Расчет Пойк'!K77</f>
        <v>508.2</v>
      </c>
      <c r="I22" s="169"/>
      <c r="J22" s="43">
        <f>'Расчет Пойк'!O77</f>
        <v>0</v>
      </c>
      <c r="K22" s="151"/>
      <c r="L22" s="70">
        <v>16</v>
      </c>
      <c r="M22" s="58"/>
      <c r="N22" s="45">
        <f>'Расчет Пойк'!T77</f>
        <v>1814.4</v>
      </c>
      <c r="O22" s="122"/>
      <c r="P22" s="43">
        <v>0</v>
      </c>
      <c r="Q22" s="58"/>
      <c r="R22" s="43">
        <f>'Расчет Пойк'!AC77</f>
        <v>155.4</v>
      </c>
      <c r="S22" s="58"/>
      <c r="T22" s="43">
        <f>'Расчет Пойк'!AG77</f>
        <v>0</v>
      </c>
      <c r="U22" s="151"/>
      <c r="V22" s="70">
        <v>16</v>
      </c>
      <c r="W22" s="58"/>
      <c r="X22" s="43">
        <f>'Расчет Пойк'!AL77</f>
        <v>331.2</v>
      </c>
      <c r="Y22" s="168"/>
      <c r="Z22" s="43">
        <f>'Расчет Пойк'!AR77</f>
        <v>0</v>
      </c>
      <c r="AA22" s="58"/>
      <c r="AB22" s="43">
        <f>'Расчет Пойк'!AV77</f>
        <v>72.96</v>
      </c>
      <c r="AC22" s="528"/>
      <c r="AD22" s="43">
        <f>'Расчет Пойк'!BA77</f>
        <v>0</v>
      </c>
      <c r="AF22" s="70">
        <v>16</v>
      </c>
      <c r="AG22" s="58"/>
      <c r="AH22" s="43">
        <f>'Расчет Пойк'!BZ77</f>
        <v>467.52</v>
      </c>
      <c r="AI22" s="58"/>
      <c r="AJ22" s="43">
        <f>'Расчет Пойк'!CF77</f>
        <v>0</v>
      </c>
      <c r="AK22" s="58"/>
      <c r="AL22" s="43">
        <f>'Расчет Пойк'!CJ77</f>
        <v>131.52</v>
      </c>
      <c r="AM22" s="58"/>
      <c r="AN22" s="43">
        <f>'Расчет Пойк'!CO77</f>
        <v>0</v>
      </c>
      <c r="AO22" s="151"/>
      <c r="AP22" s="70">
        <v>16</v>
      </c>
      <c r="AQ22" s="261"/>
      <c r="AR22" s="43">
        <f>'Расчет Пойк'!BF77</f>
        <v>0.006</v>
      </c>
      <c r="AS22" s="261"/>
      <c r="AT22" s="43">
        <v>0</v>
      </c>
      <c r="AU22" s="58"/>
      <c r="AV22" s="342">
        <f>'Расчет Пойк'!BP77</f>
        <v>0.03</v>
      </c>
      <c r="AW22" s="168"/>
      <c r="AX22" s="43">
        <v>0</v>
      </c>
      <c r="AY22" s="344"/>
      <c r="AZ22" s="70">
        <v>16</v>
      </c>
      <c r="BA22" s="261"/>
      <c r="BB22" s="43">
        <f>'Расчет Пойк'!CT77</f>
        <v>0.096</v>
      </c>
      <c r="BC22" s="261"/>
      <c r="BD22" s="43">
        <v>0</v>
      </c>
      <c r="BE22" s="261"/>
      <c r="BF22" s="43">
        <f>'Расчет Пойк'!DD77</f>
        <v>0.084</v>
      </c>
      <c r="BG22" s="261"/>
      <c r="BH22" s="43">
        <v>0</v>
      </c>
      <c r="BJ22" s="70">
        <v>16</v>
      </c>
      <c r="BK22" s="78">
        <f t="shared" si="0"/>
        <v>2830.21</v>
      </c>
      <c r="BL22" s="45">
        <f t="shared" si="1"/>
        <v>0</v>
      </c>
      <c r="BM22" s="78">
        <f t="shared" si="2"/>
        <v>581.19</v>
      </c>
      <c r="BN22" s="75">
        <f t="shared" si="3"/>
        <v>0</v>
      </c>
      <c r="BP22" s="70">
        <v>16</v>
      </c>
      <c r="BQ22" s="78">
        <f t="shared" si="4"/>
        <v>2282.02</v>
      </c>
      <c r="BR22" s="45">
        <f t="shared" si="5"/>
        <v>0</v>
      </c>
      <c r="BS22" s="78">
        <f t="shared" si="6"/>
        <v>287</v>
      </c>
      <c r="BT22" s="75">
        <f t="shared" si="7"/>
        <v>0</v>
      </c>
      <c r="BV22" s="70">
        <v>16</v>
      </c>
      <c r="BW22" s="78">
        <f t="shared" si="8"/>
        <v>5112.23</v>
      </c>
      <c r="BX22" s="78">
        <f t="shared" si="9"/>
        <v>0</v>
      </c>
      <c r="BY22" s="78">
        <f t="shared" si="10"/>
        <v>868.19</v>
      </c>
      <c r="BZ22" s="78">
        <f t="shared" si="11"/>
        <v>0</v>
      </c>
    </row>
    <row r="23" spans="2:78" s="39" customFormat="1" ht="12.75">
      <c r="B23" s="70">
        <v>17</v>
      </c>
      <c r="C23" s="261"/>
      <c r="D23" s="43">
        <f>'Расчет Пойк'!C78</f>
        <v>2532.6</v>
      </c>
      <c r="E23" s="122"/>
      <c r="F23" s="43">
        <f>'Расчет Пойк'!G78</f>
        <v>0</v>
      </c>
      <c r="G23" s="58"/>
      <c r="H23" s="43">
        <f>'Расчет Пойк'!K78</f>
        <v>499.8</v>
      </c>
      <c r="I23" s="168"/>
      <c r="J23" s="43">
        <f>'Расчет Пойк'!O78</f>
        <v>0</v>
      </c>
      <c r="K23" s="151"/>
      <c r="L23" s="70">
        <v>17</v>
      </c>
      <c r="M23" s="58"/>
      <c r="N23" s="45">
        <f>'Расчет Пойк'!T78</f>
        <v>1864.8</v>
      </c>
      <c r="O23" s="122"/>
      <c r="P23" s="43">
        <v>0</v>
      </c>
      <c r="Q23" s="58"/>
      <c r="R23" s="43">
        <f>'Расчет Пойк'!AC78</f>
        <v>147</v>
      </c>
      <c r="S23" s="68"/>
      <c r="T23" s="43">
        <f>'Расчет Пойк'!AG78</f>
        <v>0</v>
      </c>
      <c r="U23" s="151"/>
      <c r="V23" s="70">
        <v>17</v>
      </c>
      <c r="W23" s="58"/>
      <c r="X23" s="43">
        <f>'Расчет Пойк'!AL78</f>
        <v>268.8</v>
      </c>
      <c r="Y23" s="168"/>
      <c r="Z23" s="43">
        <f>'Расчет Пойк'!AR78</f>
        <v>0</v>
      </c>
      <c r="AA23" s="58"/>
      <c r="AB23" s="43">
        <f>'Расчет Пойк'!AV78</f>
        <v>64.32</v>
      </c>
      <c r="AC23" s="527"/>
      <c r="AD23" s="43">
        <f>'Расчет Пойк'!BA78</f>
        <v>0</v>
      </c>
      <c r="AF23" s="70">
        <v>17</v>
      </c>
      <c r="AG23" s="58"/>
      <c r="AH23" s="43">
        <f>'Расчет Пойк'!BZ78</f>
        <v>481.92</v>
      </c>
      <c r="AI23" s="58"/>
      <c r="AJ23" s="43">
        <f>'Расчет Пойк'!CF78</f>
        <v>0</v>
      </c>
      <c r="AK23" s="68"/>
      <c r="AL23" s="43">
        <f>'Расчет Пойк'!CJ78</f>
        <v>130.56</v>
      </c>
      <c r="AM23" s="58"/>
      <c r="AN23" s="43">
        <f>'Расчет Пойк'!CO78</f>
        <v>0</v>
      </c>
      <c r="AO23" s="151"/>
      <c r="AP23" s="70">
        <v>17</v>
      </c>
      <c r="AQ23" s="261"/>
      <c r="AR23" s="43">
        <f>'Расчет Пойк'!BF78</f>
        <v>0.012</v>
      </c>
      <c r="AS23" s="261"/>
      <c r="AT23" s="43">
        <v>0</v>
      </c>
      <c r="AU23" s="68"/>
      <c r="AV23" s="342">
        <f>'Расчет Пойк'!BP78</f>
        <v>0.024</v>
      </c>
      <c r="AW23" s="168"/>
      <c r="AX23" s="43">
        <v>0</v>
      </c>
      <c r="AY23" s="344"/>
      <c r="AZ23" s="70">
        <v>17</v>
      </c>
      <c r="BA23" s="261"/>
      <c r="BB23" s="43">
        <f>'Расчет Пойк'!CT78</f>
        <v>0.096</v>
      </c>
      <c r="BC23" s="261"/>
      <c r="BD23" s="43">
        <v>0</v>
      </c>
      <c r="BE23" s="261"/>
      <c r="BF23" s="43">
        <f>'Расчет Пойк'!DD78</f>
        <v>0.09</v>
      </c>
      <c r="BG23" s="261"/>
      <c r="BH23" s="43">
        <v>0</v>
      </c>
      <c r="BJ23" s="70">
        <v>17</v>
      </c>
      <c r="BK23" s="78">
        <f t="shared" si="0"/>
        <v>2801.41</v>
      </c>
      <c r="BL23" s="45">
        <f t="shared" si="1"/>
        <v>0</v>
      </c>
      <c r="BM23" s="78">
        <f t="shared" si="2"/>
        <v>564.14</v>
      </c>
      <c r="BN23" s="75">
        <f t="shared" si="3"/>
        <v>0</v>
      </c>
      <c r="BP23" s="70">
        <v>17</v>
      </c>
      <c r="BQ23" s="78">
        <f t="shared" si="4"/>
        <v>2346.82</v>
      </c>
      <c r="BR23" s="45">
        <f t="shared" si="5"/>
        <v>0</v>
      </c>
      <c r="BS23" s="78">
        <f t="shared" si="6"/>
        <v>277.65</v>
      </c>
      <c r="BT23" s="75">
        <f t="shared" si="7"/>
        <v>0</v>
      </c>
      <c r="BV23" s="70">
        <v>17</v>
      </c>
      <c r="BW23" s="78">
        <f t="shared" si="8"/>
        <v>5148.23</v>
      </c>
      <c r="BX23" s="78">
        <f t="shared" si="9"/>
        <v>0</v>
      </c>
      <c r="BY23" s="78">
        <f t="shared" si="10"/>
        <v>841.79</v>
      </c>
      <c r="BZ23" s="78">
        <f t="shared" si="11"/>
        <v>0</v>
      </c>
    </row>
    <row r="24" spans="2:78" s="39" customFormat="1" ht="12.75">
      <c r="B24" s="70">
        <v>18</v>
      </c>
      <c r="C24" s="261"/>
      <c r="D24" s="43">
        <f>'Расчет Пойк'!C79</f>
        <v>2608.2</v>
      </c>
      <c r="E24" s="122"/>
      <c r="F24" s="43">
        <f>'Расчет Пойк'!G79</f>
        <v>0</v>
      </c>
      <c r="G24" s="58"/>
      <c r="H24" s="43">
        <f>'Расчет Пойк'!K79</f>
        <v>487.2</v>
      </c>
      <c r="I24" s="169"/>
      <c r="J24" s="43">
        <f>'Расчет Пойк'!O79</f>
        <v>0</v>
      </c>
      <c r="K24" s="151"/>
      <c r="L24" s="70">
        <v>18</v>
      </c>
      <c r="M24" s="58"/>
      <c r="N24" s="45">
        <f>'Расчет Пойк'!T79</f>
        <v>1948.8</v>
      </c>
      <c r="O24" s="122"/>
      <c r="P24" s="43">
        <v>0</v>
      </c>
      <c r="Q24" s="58"/>
      <c r="R24" s="43">
        <f>'Расчет Пойк'!AC79</f>
        <v>134.4</v>
      </c>
      <c r="S24" s="58"/>
      <c r="T24" s="43">
        <f>'Расчет Пойк'!AG79</f>
        <v>0</v>
      </c>
      <c r="U24" s="151"/>
      <c r="V24" s="70">
        <v>18</v>
      </c>
      <c r="W24" s="58"/>
      <c r="X24" s="43">
        <f>'Расчет Пойк'!AL79</f>
        <v>263.04</v>
      </c>
      <c r="Y24" s="168"/>
      <c r="Z24" s="43">
        <f>'Расчет Пойк'!AR79</f>
        <v>0</v>
      </c>
      <c r="AA24" s="58"/>
      <c r="AB24" s="43">
        <f>'Расчет Пойк'!AV79</f>
        <v>58.56</v>
      </c>
      <c r="AC24" s="528"/>
      <c r="AD24" s="43">
        <f>'Расчет Пойк'!BA79</f>
        <v>0.96</v>
      </c>
      <c r="AF24" s="70">
        <v>18</v>
      </c>
      <c r="AG24" s="58"/>
      <c r="AH24" s="43">
        <f>'Расчет Пойк'!BZ79</f>
        <v>463.68</v>
      </c>
      <c r="AI24" s="58"/>
      <c r="AJ24" s="43">
        <f>'Расчет Пойк'!CF79</f>
        <v>0</v>
      </c>
      <c r="AK24" s="58"/>
      <c r="AL24" s="43">
        <f>'Расчет Пойк'!CJ79</f>
        <v>125.76</v>
      </c>
      <c r="AM24" s="58"/>
      <c r="AN24" s="43">
        <f>'Расчет Пойк'!CO79</f>
        <v>0</v>
      </c>
      <c r="AO24" s="151"/>
      <c r="AP24" s="70">
        <v>18</v>
      </c>
      <c r="AQ24" s="261"/>
      <c r="AR24" s="43">
        <f>'Расчет Пойк'!BF79</f>
        <v>0.012</v>
      </c>
      <c r="AS24" s="261"/>
      <c r="AT24" s="43">
        <v>0</v>
      </c>
      <c r="AU24" s="58"/>
      <c r="AV24" s="342">
        <f>'Расчет Пойк'!BP79</f>
        <v>0.024</v>
      </c>
      <c r="AW24" s="168"/>
      <c r="AX24" s="43">
        <v>0</v>
      </c>
      <c r="AY24" s="344"/>
      <c r="AZ24" s="70">
        <v>18</v>
      </c>
      <c r="BA24" s="261"/>
      <c r="BB24" s="43">
        <f>'Расчет Пойк'!CT79</f>
        <v>0.102</v>
      </c>
      <c r="BC24" s="261"/>
      <c r="BD24" s="43">
        <v>0</v>
      </c>
      <c r="BE24" s="261"/>
      <c r="BF24" s="43">
        <f>'Расчет Пойк'!DD79</f>
        <v>0.084</v>
      </c>
      <c r="BG24" s="261"/>
      <c r="BH24" s="43">
        <v>0</v>
      </c>
      <c r="BJ24" s="70">
        <v>18</v>
      </c>
      <c r="BK24" s="78">
        <f t="shared" si="0"/>
        <v>2871.25</v>
      </c>
      <c r="BL24" s="45">
        <f t="shared" si="1"/>
        <v>0</v>
      </c>
      <c r="BM24" s="78">
        <f t="shared" si="2"/>
        <v>545.78</v>
      </c>
      <c r="BN24" s="75">
        <f t="shared" si="3"/>
        <v>0.96</v>
      </c>
      <c r="BP24" s="70">
        <v>18</v>
      </c>
      <c r="BQ24" s="78">
        <f t="shared" si="4"/>
        <v>2412.58</v>
      </c>
      <c r="BR24" s="45">
        <f t="shared" si="5"/>
        <v>0</v>
      </c>
      <c r="BS24" s="78">
        <f t="shared" si="6"/>
        <v>260.24</v>
      </c>
      <c r="BT24" s="75">
        <f t="shared" si="7"/>
        <v>0</v>
      </c>
      <c r="BV24" s="70">
        <v>18</v>
      </c>
      <c r="BW24" s="78">
        <f t="shared" si="8"/>
        <v>5283.83</v>
      </c>
      <c r="BX24" s="78">
        <f t="shared" si="9"/>
        <v>0</v>
      </c>
      <c r="BY24" s="78">
        <f t="shared" si="10"/>
        <v>806.02</v>
      </c>
      <c r="BZ24" s="78">
        <f t="shared" si="11"/>
        <v>0.96</v>
      </c>
    </row>
    <row r="25" spans="2:78" s="39" customFormat="1" ht="12.75">
      <c r="B25" s="70">
        <v>19</v>
      </c>
      <c r="C25" s="261"/>
      <c r="D25" s="43">
        <f>'Расчет Пойк'!C80</f>
        <v>2692.2</v>
      </c>
      <c r="E25" s="122"/>
      <c r="F25" s="43">
        <f>'Расчет Пойк'!G80</f>
        <v>0</v>
      </c>
      <c r="G25" s="58"/>
      <c r="H25" s="43">
        <f>'Расчет Пойк'!K80</f>
        <v>462</v>
      </c>
      <c r="I25" s="168"/>
      <c r="J25" s="43">
        <f>'Расчет Пойк'!O80</f>
        <v>0</v>
      </c>
      <c r="K25" s="151"/>
      <c r="L25" s="70">
        <v>19</v>
      </c>
      <c r="M25" s="58"/>
      <c r="N25" s="45">
        <f>'Расчет Пойк'!T80</f>
        <v>2032.8</v>
      </c>
      <c r="O25" s="122"/>
      <c r="P25" s="43">
        <v>0</v>
      </c>
      <c r="Q25" s="58"/>
      <c r="R25" s="43">
        <f>'Расчет Пойк'!AC80</f>
        <v>134.4</v>
      </c>
      <c r="S25" s="68"/>
      <c r="T25" s="43">
        <f>'Расчет Пойк'!AG80</f>
        <v>0</v>
      </c>
      <c r="U25" s="151"/>
      <c r="V25" s="70">
        <v>19</v>
      </c>
      <c r="W25" s="58"/>
      <c r="X25" s="43">
        <f>'Расчет Пойк'!AL80</f>
        <v>271.68</v>
      </c>
      <c r="Y25" s="168"/>
      <c r="Z25" s="43">
        <f>'Расчет Пойк'!AR80</f>
        <v>0</v>
      </c>
      <c r="AA25" s="58"/>
      <c r="AB25" s="43">
        <f>'Расчет Пойк'!AV80</f>
        <v>23.04</v>
      </c>
      <c r="AC25" s="527"/>
      <c r="AD25" s="43">
        <f>'Расчет Пойк'!BA80</f>
        <v>17.28</v>
      </c>
      <c r="AF25" s="70">
        <v>19</v>
      </c>
      <c r="AG25" s="58"/>
      <c r="AH25" s="43">
        <f>'Расчет Пойк'!BZ80</f>
        <v>477.12</v>
      </c>
      <c r="AI25" s="58"/>
      <c r="AJ25" s="43">
        <f>'Расчет Пойк'!CF80</f>
        <v>0</v>
      </c>
      <c r="AK25" s="68"/>
      <c r="AL25" s="43">
        <f>'Расчет Пойк'!CJ80</f>
        <v>119.04</v>
      </c>
      <c r="AM25" s="58"/>
      <c r="AN25" s="43">
        <f>'Расчет Пойк'!CO80</f>
        <v>0</v>
      </c>
      <c r="AO25" s="151"/>
      <c r="AP25" s="70">
        <v>19</v>
      </c>
      <c r="AQ25" s="261"/>
      <c r="AR25" s="43">
        <f>'Расчет Пойк'!BF80</f>
        <v>0.006</v>
      </c>
      <c r="AS25" s="261"/>
      <c r="AT25" s="43">
        <v>0</v>
      </c>
      <c r="AU25" s="68"/>
      <c r="AV25" s="342">
        <f>'Расчет Пойк'!BP80</f>
        <v>0.03</v>
      </c>
      <c r="AW25" s="168"/>
      <c r="AX25" s="43">
        <v>0</v>
      </c>
      <c r="AY25" s="344"/>
      <c r="AZ25" s="70">
        <v>19</v>
      </c>
      <c r="BA25" s="261"/>
      <c r="BB25" s="43">
        <f>'Расчет Пойк'!CT80</f>
        <v>0.126</v>
      </c>
      <c r="BC25" s="261"/>
      <c r="BD25" s="43">
        <v>0</v>
      </c>
      <c r="BE25" s="261"/>
      <c r="BF25" s="43">
        <f>'Расчет Пойк'!DD80</f>
        <v>0.09</v>
      </c>
      <c r="BG25" s="261"/>
      <c r="BH25" s="43">
        <v>0</v>
      </c>
      <c r="BJ25" s="70">
        <v>19</v>
      </c>
      <c r="BK25" s="78">
        <f t="shared" si="0"/>
        <v>2963.89</v>
      </c>
      <c r="BL25" s="45">
        <f t="shared" si="1"/>
        <v>0</v>
      </c>
      <c r="BM25" s="78">
        <f t="shared" si="2"/>
        <v>485.07</v>
      </c>
      <c r="BN25" s="75">
        <f t="shared" si="3"/>
        <v>17.28</v>
      </c>
      <c r="BP25" s="70">
        <v>19</v>
      </c>
      <c r="BQ25" s="78">
        <f t="shared" si="4"/>
        <v>2510.05</v>
      </c>
      <c r="BR25" s="45">
        <f t="shared" si="5"/>
        <v>0</v>
      </c>
      <c r="BS25" s="78">
        <f t="shared" si="6"/>
        <v>253.53</v>
      </c>
      <c r="BT25" s="75">
        <f t="shared" si="7"/>
        <v>0</v>
      </c>
      <c r="BV25" s="70">
        <v>19</v>
      </c>
      <c r="BW25" s="78">
        <f t="shared" si="8"/>
        <v>5473.9400000000005</v>
      </c>
      <c r="BX25" s="78">
        <f t="shared" si="9"/>
        <v>0</v>
      </c>
      <c r="BY25" s="78">
        <f t="shared" si="10"/>
        <v>738.6</v>
      </c>
      <c r="BZ25" s="78">
        <f t="shared" si="11"/>
        <v>17.28</v>
      </c>
    </row>
    <row r="26" spans="2:78" s="39" customFormat="1" ht="12.75">
      <c r="B26" s="70">
        <v>20</v>
      </c>
      <c r="C26" s="261"/>
      <c r="D26" s="43">
        <f>'Расчет Пойк'!C81</f>
        <v>2746.8</v>
      </c>
      <c r="E26" s="122"/>
      <c r="F26" s="43">
        <f>'Расчет Пойк'!G81</f>
        <v>0</v>
      </c>
      <c r="G26" s="58"/>
      <c r="H26" s="43">
        <f>'Расчет Пойк'!K81</f>
        <v>453.6</v>
      </c>
      <c r="I26" s="169"/>
      <c r="J26" s="43">
        <f>'Расчет Пойк'!O81</f>
        <v>0</v>
      </c>
      <c r="K26" s="151"/>
      <c r="L26" s="70">
        <v>20</v>
      </c>
      <c r="M26" s="58"/>
      <c r="N26" s="45">
        <f>'Расчет Пойк'!T81</f>
        <v>2074.8</v>
      </c>
      <c r="O26" s="122"/>
      <c r="P26" s="43">
        <v>0</v>
      </c>
      <c r="Q26" s="58"/>
      <c r="R26" s="43">
        <f>'Расчет Пойк'!AC81</f>
        <v>126</v>
      </c>
      <c r="S26" s="58"/>
      <c r="T26" s="43">
        <f>'Расчет Пойк'!AG81</f>
        <v>0</v>
      </c>
      <c r="U26" s="151"/>
      <c r="V26" s="70">
        <v>20</v>
      </c>
      <c r="W26" s="58"/>
      <c r="X26" s="43">
        <f>'Расчет Пойк'!AL81</f>
        <v>256.32</v>
      </c>
      <c r="Y26" s="168"/>
      <c r="Z26" s="43">
        <f>'Расчет Пойк'!AR81</f>
        <v>0</v>
      </c>
      <c r="AA26" s="58"/>
      <c r="AB26" s="43">
        <f>'Расчет Пойк'!AV81</f>
        <v>5.76</v>
      </c>
      <c r="AC26" s="528"/>
      <c r="AD26" s="43">
        <f>'Расчет Пойк'!BA81</f>
        <v>33.6</v>
      </c>
      <c r="AF26" s="70">
        <v>20</v>
      </c>
      <c r="AG26" s="58"/>
      <c r="AH26" s="43">
        <f>'Расчет Пойк'!BZ81</f>
        <v>494.4</v>
      </c>
      <c r="AI26" s="58"/>
      <c r="AJ26" s="43">
        <f>'Расчет Пойк'!CF81</f>
        <v>0</v>
      </c>
      <c r="AK26" s="58"/>
      <c r="AL26" s="43">
        <f>'Расчет Пойк'!CJ81</f>
        <v>124.8</v>
      </c>
      <c r="AM26" s="58"/>
      <c r="AN26" s="43">
        <f>'Расчет Пойк'!CO81</f>
        <v>0</v>
      </c>
      <c r="AO26" s="151"/>
      <c r="AP26" s="70">
        <v>20</v>
      </c>
      <c r="AQ26" s="261"/>
      <c r="AR26" s="43">
        <f>'Расчет Пойк'!BF81</f>
        <v>0.012</v>
      </c>
      <c r="AS26" s="261"/>
      <c r="AT26" s="43">
        <v>0</v>
      </c>
      <c r="AU26" s="58"/>
      <c r="AV26" s="342">
        <f>'Расчет Пойк'!BP81</f>
        <v>0.024</v>
      </c>
      <c r="AW26" s="168"/>
      <c r="AX26" s="43">
        <v>0</v>
      </c>
      <c r="AY26" s="344"/>
      <c r="AZ26" s="70">
        <v>20</v>
      </c>
      <c r="BA26" s="261"/>
      <c r="BB26" s="43">
        <f>'Расчет Пойк'!CT81</f>
        <v>0.096</v>
      </c>
      <c r="BC26" s="261"/>
      <c r="BD26" s="43">
        <v>0</v>
      </c>
      <c r="BE26" s="261"/>
      <c r="BF26" s="43">
        <f>'Расчет Пойк'!DD81</f>
        <v>0.084</v>
      </c>
      <c r="BG26" s="261"/>
      <c r="BH26" s="43">
        <v>0</v>
      </c>
      <c r="BJ26" s="70">
        <v>20</v>
      </c>
      <c r="BK26" s="78">
        <f t="shared" si="0"/>
        <v>3003.13</v>
      </c>
      <c r="BL26" s="45">
        <f t="shared" si="1"/>
        <v>0</v>
      </c>
      <c r="BM26" s="78">
        <f t="shared" si="2"/>
        <v>459.38</v>
      </c>
      <c r="BN26" s="75">
        <f t="shared" si="3"/>
        <v>33.6</v>
      </c>
      <c r="BP26" s="70">
        <v>20</v>
      </c>
      <c r="BQ26" s="78">
        <f t="shared" si="4"/>
        <v>2569.3</v>
      </c>
      <c r="BR26" s="45">
        <f t="shared" si="5"/>
        <v>0</v>
      </c>
      <c r="BS26" s="78">
        <f t="shared" si="6"/>
        <v>250.88</v>
      </c>
      <c r="BT26" s="75">
        <f t="shared" si="7"/>
        <v>0</v>
      </c>
      <c r="BV26" s="70">
        <v>20</v>
      </c>
      <c r="BW26" s="78">
        <f t="shared" si="8"/>
        <v>5572.43</v>
      </c>
      <c r="BX26" s="78">
        <f t="shared" si="9"/>
        <v>0</v>
      </c>
      <c r="BY26" s="78">
        <f t="shared" si="10"/>
        <v>710.26</v>
      </c>
      <c r="BZ26" s="78">
        <f t="shared" si="11"/>
        <v>33.6</v>
      </c>
    </row>
    <row r="27" spans="2:78" s="39" customFormat="1" ht="12.75">
      <c r="B27" s="70">
        <v>21</v>
      </c>
      <c r="C27" s="261"/>
      <c r="D27" s="43">
        <f>'Расчет Пойк'!C82</f>
        <v>2734.2</v>
      </c>
      <c r="E27" s="122"/>
      <c r="F27" s="43">
        <f>'Расчет Пойк'!G82</f>
        <v>0</v>
      </c>
      <c r="G27" s="58"/>
      <c r="H27" s="43">
        <f>'Расчет Пойк'!K82</f>
        <v>445.2</v>
      </c>
      <c r="I27" s="168"/>
      <c r="J27" s="43">
        <f>'Расчет Пойк'!O82</f>
        <v>0</v>
      </c>
      <c r="K27" s="151"/>
      <c r="L27" s="70">
        <v>21</v>
      </c>
      <c r="M27" s="58"/>
      <c r="N27" s="45">
        <f>'Расчет Пойк'!T82</f>
        <v>2129.4</v>
      </c>
      <c r="O27" s="122"/>
      <c r="P27" s="43">
        <v>0</v>
      </c>
      <c r="Q27" s="58"/>
      <c r="R27" s="43">
        <f>'Расчет Пойк'!AC82</f>
        <v>126</v>
      </c>
      <c r="S27" s="68"/>
      <c r="T27" s="43">
        <f>'Расчет Пойк'!AG82</f>
        <v>0</v>
      </c>
      <c r="U27" s="151"/>
      <c r="V27" s="70">
        <v>21</v>
      </c>
      <c r="W27" s="58"/>
      <c r="X27" s="43">
        <f>'Расчет Пойк'!AL82</f>
        <v>341.76</v>
      </c>
      <c r="Y27" s="168"/>
      <c r="Z27" s="43">
        <f>'Расчет Пойк'!AR82</f>
        <v>0</v>
      </c>
      <c r="AA27" s="58"/>
      <c r="AB27" s="43">
        <f>'Расчет Пойк'!AV82</f>
        <v>50.88</v>
      </c>
      <c r="AC27" s="527"/>
      <c r="AD27" s="43">
        <f>'Расчет Пойк'!BA82</f>
        <v>0</v>
      </c>
      <c r="AF27" s="70">
        <v>21</v>
      </c>
      <c r="AG27" s="58"/>
      <c r="AH27" s="43">
        <f>'Расчет Пойк'!BZ82</f>
        <v>509.76</v>
      </c>
      <c r="AI27" s="58"/>
      <c r="AJ27" s="43">
        <f>'Расчет Пойк'!CF82</f>
        <v>0</v>
      </c>
      <c r="AK27" s="68"/>
      <c r="AL27" s="43">
        <f>'Расчет Пойк'!CJ82</f>
        <v>123.84</v>
      </c>
      <c r="AM27" s="58"/>
      <c r="AN27" s="43">
        <f>'Расчет Пойк'!CO82</f>
        <v>0</v>
      </c>
      <c r="AO27" s="151"/>
      <c r="AP27" s="70">
        <v>21</v>
      </c>
      <c r="AQ27" s="261"/>
      <c r="AR27" s="43">
        <f>'Расчет Пойк'!BF82</f>
        <v>0.006</v>
      </c>
      <c r="AS27" s="261"/>
      <c r="AT27" s="43">
        <v>0</v>
      </c>
      <c r="AU27" s="68"/>
      <c r="AV27" s="342">
        <f>'Расчет Пойк'!BP82</f>
        <v>0.024</v>
      </c>
      <c r="AW27" s="168"/>
      <c r="AX27" s="43">
        <v>0</v>
      </c>
      <c r="AY27" s="344"/>
      <c r="AZ27" s="70">
        <v>21</v>
      </c>
      <c r="BA27" s="261"/>
      <c r="BB27" s="43">
        <f>'Расчет Пойк'!CT82</f>
        <v>0.102</v>
      </c>
      <c r="BC27" s="261"/>
      <c r="BD27" s="43">
        <v>0</v>
      </c>
      <c r="BE27" s="261"/>
      <c r="BF27" s="43">
        <f>'Расчет Пойк'!DD82</f>
        <v>0.084</v>
      </c>
      <c r="BG27" s="261"/>
      <c r="BH27" s="43">
        <v>0</v>
      </c>
      <c r="BJ27" s="70">
        <v>21</v>
      </c>
      <c r="BK27" s="78">
        <f t="shared" si="0"/>
        <v>3075.97</v>
      </c>
      <c r="BL27" s="45">
        <f t="shared" si="1"/>
        <v>0</v>
      </c>
      <c r="BM27" s="78">
        <f t="shared" si="2"/>
        <v>496.1</v>
      </c>
      <c r="BN27" s="75">
        <f t="shared" si="3"/>
        <v>0</v>
      </c>
      <c r="BP27" s="70">
        <v>21</v>
      </c>
      <c r="BQ27" s="78">
        <f t="shared" si="4"/>
        <v>2639.26</v>
      </c>
      <c r="BR27" s="45">
        <f t="shared" si="5"/>
        <v>0</v>
      </c>
      <c r="BS27" s="78">
        <f t="shared" si="6"/>
        <v>249.92</v>
      </c>
      <c r="BT27" s="75">
        <f t="shared" si="7"/>
        <v>0</v>
      </c>
      <c r="BV27" s="70">
        <v>21</v>
      </c>
      <c r="BW27" s="78">
        <f t="shared" si="8"/>
        <v>5715.23</v>
      </c>
      <c r="BX27" s="78">
        <f t="shared" si="9"/>
        <v>0</v>
      </c>
      <c r="BY27" s="78">
        <f t="shared" si="10"/>
        <v>746.02</v>
      </c>
      <c r="BZ27" s="78">
        <f t="shared" si="11"/>
        <v>0</v>
      </c>
    </row>
    <row r="28" spans="2:78" s="39" customFormat="1" ht="12.75">
      <c r="B28" s="70">
        <v>22</v>
      </c>
      <c r="C28" s="261"/>
      <c r="D28" s="43">
        <f>'Расчет Пойк'!C83</f>
        <v>2675.4</v>
      </c>
      <c r="E28" s="122"/>
      <c r="F28" s="43">
        <f>'Расчет Пойк'!G83</f>
        <v>0</v>
      </c>
      <c r="G28" s="58"/>
      <c r="H28" s="43">
        <f>'Расчет Пойк'!K83</f>
        <v>449.4</v>
      </c>
      <c r="I28" s="169"/>
      <c r="J28" s="43">
        <f>'Расчет Пойк'!O83</f>
        <v>0</v>
      </c>
      <c r="K28" s="151"/>
      <c r="L28" s="70">
        <v>22</v>
      </c>
      <c r="M28" s="58"/>
      <c r="N28" s="45">
        <f>'Расчет Пойк'!T83</f>
        <v>2074.8</v>
      </c>
      <c r="O28" s="122"/>
      <c r="P28" s="43">
        <v>0</v>
      </c>
      <c r="Q28" s="58"/>
      <c r="R28" s="43">
        <f>'Расчет Пойк'!AC83</f>
        <v>113.4</v>
      </c>
      <c r="S28" s="58"/>
      <c r="T28" s="43">
        <f>'Расчет Пойк'!AG83</f>
        <v>0</v>
      </c>
      <c r="U28" s="151"/>
      <c r="V28" s="70">
        <v>22</v>
      </c>
      <c r="W28" s="58"/>
      <c r="X28" s="43">
        <f>'Расчет Пойк'!AL83</f>
        <v>312</v>
      </c>
      <c r="Y28" s="168"/>
      <c r="Z28" s="43">
        <f>'Расчет Пойк'!AR83</f>
        <v>0</v>
      </c>
      <c r="AA28" s="58"/>
      <c r="AB28" s="43">
        <f>'Расчет Пойк'!AV83</f>
        <v>30.72</v>
      </c>
      <c r="AC28" s="528"/>
      <c r="AD28" s="43">
        <f>'Расчет Пойк'!BA83</f>
        <v>3.84</v>
      </c>
      <c r="AF28" s="70">
        <v>22</v>
      </c>
      <c r="AG28" s="58"/>
      <c r="AH28" s="43">
        <f>'Расчет Пойк'!BZ83</f>
        <v>520.32</v>
      </c>
      <c r="AI28" s="58"/>
      <c r="AJ28" s="43">
        <f>'Расчет Пойк'!CF83</f>
        <v>0</v>
      </c>
      <c r="AK28" s="58"/>
      <c r="AL28" s="43">
        <f>'Расчет Пойк'!CJ83</f>
        <v>134.4</v>
      </c>
      <c r="AM28" s="58"/>
      <c r="AN28" s="43">
        <f>'Расчет Пойк'!CO83</f>
        <v>0</v>
      </c>
      <c r="AO28" s="151"/>
      <c r="AP28" s="70">
        <v>22</v>
      </c>
      <c r="AQ28" s="261"/>
      <c r="AR28" s="43">
        <f>'Расчет Пойк'!BF83</f>
        <v>0.012</v>
      </c>
      <c r="AS28" s="261"/>
      <c r="AT28" s="43">
        <v>0</v>
      </c>
      <c r="AU28" s="58"/>
      <c r="AV28" s="342">
        <f>'Расчет Пойк'!BP83</f>
        <v>0.024</v>
      </c>
      <c r="AW28" s="168"/>
      <c r="AX28" s="43">
        <v>0</v>
      </c>
      <c r="AY28" s="344"/>
      <c r="AZ28" s="70">
        <v>22</v>
      </c>
      <c r="BA28" s="261"/>
      <c r="BB28" s="43">
        <f>'Расчет Пойк'!CT83</f>
        <v>0.21</v>
      </c>
      <c r="BC28" s="261"/>
      <c r="BD28" s="43">
        <v>0</v>
      </c>
      <c r="BE28" s="261"/>
      <c r="BF28" s="43">
        <f>'Расчет Пойк'!DD83</f>
        <v>0.348</v>
      </c>
      <c r="BG28" s="261"/>
      <c r="BH28" s="43">
        <v>0</v>
      </c>
      <c r="BJ28" s="70">
        <v>22</v>
      </c>
      <c r="BK28" s="78">
        <f t="shared" si="0"/>
        <v>2987.41</v>
      </c>
      <c r="BL28" s="45">
        <f t="shared" si="1"/>
        <v>0</v>
      </c>
      <c r="BM28" s="78">
        <f t="shared" si="2"/>
        <v>480.14</v>
      </c>
      <c r="BN28" s="75">
        <f t="shared" si="3"/>
        <v>3.84</v>
      </c>
      <c r="BP28" s="70">
        <v>22</v>
      </c>
      <c r="BQ28" s="78">
        <f t="shared" si="4"/>
        <v>2595.33</v>
      </c>
      <c r="BR28" s="45">
        <f t="shared" si="5"/>
        <v>0</v>
      </c>
      <c r="BS28" s="78">
        <f t="shared" si="6"/>
        <v>248.15</v>
      </c>
      <c r="BT28" s="75">
        <f t="shared" si="7"/>
        <v>0</v>
      </c>
      <c r="BV28" s="70">
        <v>22</v>
      </c>
      <c r="BW28" s="78">
        <f t="shared" si="8"/>
        <v>5582.74</v>
      </c>
      <c r="BX28" s="78">
        <f t="shared" si="9"/>
        <v>0</v>
      </c>
      <c r="BY28" s="78">
        <f t="shared" si="10"/>
        <v>728.29</v>
      </c>
      <c r="BZ28" s="78">
        <f t="shared" si="11"/>
        <v>3.84</v>
      </c>
    </row>
    <row r="29" spans="2:78" s="39" customFormat="1" ht="12.75">
      <c r="B29" s="70">
        <v>23</v>
      </c>
      <c r="C29" s="261"/>
      <c r="D29" s="43">
        <f>'Расчет Пойк'!C84</f>
        <v>2373</v>
      </c>
      <c r="E29" s="122"/>
      <c r="F29" s="43">
        <f>'Расчет Пойк'!G84</f>
        <v>0</v>
      </c>
      <c r="G29" s="58"/>
      <c r="H29" s="43">
        <f>'Расчет Пойк'!K84</f>
        <v>457.8</v>
      </c>
      <c r="I29" s="168"/>
      <c r="J29" s="43">
        <f>'Расчет Пойк'!O84</f>
        <v>0</v>
      </c>
      <c r="K29" s="151"/>
      <c r="L29" s="70">
        <v>23</v>
      </c>
      <c r="M29" s="58"/>
      <c r="N29" s="45">
        <f>'Расчет Пойк'!T84</f>
        <v>1734.6</v>
      </c>
      <c r="O29" s="122"/>
      <c r="P29" s="43">
        <v>0</v>
      </c>
      <c r="Q29" s="58"/>
      <c r="R29" s="43">
        <f>'Расчет Пойк'!AC84</f>
        <v>88.2</v>
      </c>
      <c r="S29" s="68"/>
      <c r="T29" s="43">
        <f>'Расчет Пойк'!AG84</f>
        <v>12.6</v>
      </c>
      <c r="U29" s="151"/>
      <c r="V29" s="70">
        <v>23</v>
      </c>
      <c r="W29" s="58"/>
      <c r="X29" s="43">
        <f>'Расчет Пойк'!AL84</f>
        <v>262.08</v>
      </c>
      <c r="Y29" s="168"/>
      <c r="Z29" s="43">
        <f>'Расчет Пойк'!AR84</f>
        <v>0</v>
      </c>
      <c r="AA29" s="58"/>
      <c r="AB29" s="43">
        <f>'Расчет Пойк'!AV84</f>
        <v>7.68</v>
      </c>
      <c r="AC29" s="527"/>
      <c r="AD29" s="43">
        <f>'Расчет Пойк'!BA84</f>
        <v>14.4</v>
      </c>
      <c r="AF29" s="70">
        <v>23</v>
      </c>
      <c r="AG29" s="58"/>
      <c r="AH29" s="43">
        <f>'Расчет Пойк'!BZ84</f>
        <v>503.04</v>
      </c>
      <c r="AI29" s="58"/>
      <c r="AJ29" s="43">
        <f>'Расчет Пойк'!CF84</f>
        <v>0</v>
      </c>
      <c r="AK29" s="68"/>
      <c r="AL29" s="43">
        <f>'Расчет Пойк'!CJ84</f>
        <v>132.48</v>
      </c>
      <c r="AM29" s="58"/>
      <c r="AN29" s="43">
        <f>'Расчет Пойк'!CO84</f>
        <v>0</v>
      </c>
      <c r="AO29" s="151"/>
      <c r="AP29" s="70">
        <v>23</v>
      </c>
      <c r="AQ29" s="261"/>
      <c r="AR29" s="43">
        <f>'Расчет Пойк'!BF84</f>
        <v>0.012</v>
      </c>
      <c r="AS29" s="261"/>
      <c r="AT29" s="43">
        <v>0</v>
      </c>
      <c r="AU29" s="68"/>
      <c r="AV29" s="342">
        <f>'Расчет Пойк'!BP84</f>
        <v>0.024</v>
      </c>
      <c r="AW29" s="168"/>
      <c r="AX29" s="43">
        <v>0</v>
      </c>
      <c r="AY29" s="344"/>
      <c r="AZ29" s="70">
        <v>23</v>
      </c>
      <c r="BA29" s="261"/>
      <c r="BB29" s="43">
        <f>'Расчет Пойк'!CT84</f>
        <v>0.432</v>
      </c>
      <c r="BC29" s="261"/>
      <c r="BD29" s="43">
        <v>0</v>
      </c>
      <c r="BE29" s="261"/>
      <c r="BF29" s="43">
        <f>'Расчет Пойк'!DD84</f>
        <v>0.75</v>
      </c>
      <c r="BG29" s="261"/>
      <c r="BH29" s="43">
        <v>0</v>
      </c>
      <c r="BJ29" s="70">
        <v>23</v>
      </c>
      <c r="BK29" s="78">
        <f t="shared" si="0"/>
        <v>2635.09</v>
      </c>
      <c r="BL29" s="45">
        <f t="shared" si="1"/>
        <v>0</v>
      </c>
      <c r="BM29" s="78">
        <f t="shared" si="2"/>
        <v>465.5</v>
      </c>
      <c r="BN29" s="75">
        <f t="shared" si="3"/>
        <v>14.4</v>
      </c>
      <c r="BP29" s="70">
        <v>23</v>
      </c>
      <c r="BQ29" s="78">
        <f t="shared" si="4"/>
        <v>2238.07</v>
      </c>
      <c r="BR29" s="45">
        <f t="shared" si="5"/>
        <v>0</v>
      </c>
      <c r="BS29" s="78">
        <f t="shared" si="6"/>
        <v>221.43</v>
      </c>
      <c r="BT29" s="75">
        <f t="shared" si="7"/>
        <v>12.6</v>
      </c>
      <c r="BV29" s="70">
        <v>23</v>
      </c>
      <c r="BW29" s="78">
        <f t="shared" si="8"/>
        <v>4873.16</v>
      </c>
      <c r="BX29" s="78">
        <f t="shared" si="9"/>
        <v>0</v>
      </c>
      <c r="BY29" s="78">
        <f t="shared" si="10"/>
        <v>686.9300000000001</v>
      </c>
      <c r="BZ29" s="78">
        <f t="shared" si="11"/>
        <v>27</v>
      </c>
    </row>
    <row r="30" spans="2:78" s="39" customFormat="1" ht="12.75">
      <c r="B30" s="70">
        <v>24</v>
      </c>
      <c r="C30" s="261"/>
      <c r="D30" s="43">
        <f>'Расчет Пойк'!C85</f>
        <v>1986.6</v>
      </c>
      <c r="E30" s="122"/>
      <c r="F30" s="43">
        <f>'Расчет Пойк'!G85</f>
        <v>0</v>
      </c>
      <c r="G30" s="58"/>
      <c r="H30" s="43">
        <f>'Расчет Пойк'!K85</f>
        <v>424.2</v>
      </c>
      <c r="I30" s="169"/>
      <c r="J30" s="43">
        <f>'Расчет Пойк'!O85</f>
        <v>0</v>
      </c>
      <c r="K30" s="151"/>
      <c r="L30" s="70">
        <v>24</v>
      </c>
      <c r="M30" s="58"/>
      <c r="N30" s="45">
        <f>'Расчет Пойк'!T85</f>
        <v>1407</v>
      </c>
      <c r="O30" s="122"/>
      <c r="P30" s="43">
        <v>0</v>
      </c>
      <c r="Q30" s="58"/>
      <c r="R30" s="43">
        <f>'Расчет Пойк'!AC85</f>
        <v>75.6</v>
      </c>
      <c r="S30" s="58"/>
      <c r="T30" s="43">
        <f>'Расчет Пойк'!AG85</f>
        <v>21</v>
      </c>
      <c r="U30" s="151"/>
      <c r="V30" s="70">
        <v>24</v>
      </c>
      <c r="W30" s="58"/>
      <c r="X30" s="43">
        <f>'Расчет Пойк'!AL85</f>
        <v>265.92</v>
      </c>
      <c r="Y30" s="168"/>
      <c r="Z30" s="43">
        <f>'Расчет Пойк'!AR85</f>
        <v>0</v>
      </c>
      <c r="AA30" s="58"/>
      <c r="AB30" s="43">
        <f>'Расчет Пойк'!AV85</f>
        <v>2.88</v>
      </c>
      <c r="AC30" s="528"/>
      <c r="AD30" s="43">
        <f>'Расчет Пойк'!BA85</f>
        <v>33.6</v>
      </c>
      <c r="AF30" s="70">
        <v>24</v>
      </c>
      <c r="AG30" s="58"/>
      <c r="AH30" s="43">
        <f>'Расчет Пойк'!BZ85</f>
        <v>439.68</v>
      </c>
      <c r="AI30" s="58"/>
      <c r="AJ30" s="43">
        <f>'Расчет Пойк'!CF85</f>
        <v>0</v>
      </c>
      <c r="AK30" s="58"/>
      <c r="AL30" s="43">
        <f>'Расчет Пойк'!CJ85</f>
        <v>129.6</v>
      </c>
      <c r="AM30" s="58"/>
      <c r="AN30" s="43">
        <f>'Расчет Пойк'!CO85</f>
        <v>0</v>
      </c>
      <c r="AO30" s="151"/>
      <c r="AP30" s="70">
        <v>24</v>
      </c>
      <c r="AQ30" s="261"/>
      <c r="AR30" s="43">
        <f>'Расчет Пойк'!BF85</f>
        <v>0.006</v>
      </c>
      <c r="AS30" s="261"/>
      <c r="AT30" s="43">
        <v>0</v>
      </c>
      <c r="AU30" s="58"/>
      <c r="AV30" s="342">
        <f>'Расчет Пойк'!BP85</f>
        <v>0.03</v>
      </c>
      <c r="AW30" s="168"/>
      <c r="AX30" s="43">
        <v>0</v>
      </c>
      <c r="AY30" s="344"/>
      <c r="AZ30" s="70">
        <v>24</v>
      </c>
      <c r="BA30" s="261"/>
      <c r="BB30" s="43">
        <f>'Расчет Пойк'!CT85</f>
        <v>0.426</v>
      </c>
      <c r="BC30" s="261"/>
      <c r="BD30" s="43">
        <v>0</v>
      </c>
      <c r="BE30" s="261"/>
      <c r="BF30" s="43">
        <f>'Расчет Пойк'!DD85</f>
        <v>0.702</v>
      </c>
      <c r="BG30" s="261"/>
      <c r="BH30" s="43">
        <v>0</v>
      </c>
      <c r="BJ30" s="70">
        <v>24</v>
      </c>
      <c r="BK30" s="78">
        <f t="shared" si="0"/>
        <v>2252.53</v>
      </c>
      <c r="BL30" s="45">
        <f t="shared" si="1"/>
        <v>0</v>
      </c>
      <c r="BM30" s="78">
        <f t="shared" si="2"/>
        <v>427.11</v>
      </c>
      <c r="BN30" s="75">
        <f t="shared" si="3"/>
        <v>33.6</v>
      </c>
      <c r="BP30" s="70">
        <v>24</v>
      </c>
      <c r="BQ30" s="78">
        <f t="shared" si="4"/>
        <v>1847.11</v>
      </c>
      <c r="BR30" s="45">
        <f t="shared" si="5"/>
        <v>0</v>
      </c>
      <c r="BS30" s="78">
        <f t="shared" si="6"/>
        <v>205.9</v>
      </c>
      <c r="BT30" s="75">
        <f t="shared" si="7"/>
        <v>21</v>
      </c>
      <c r="BV30" s="70">
        <v>24</v>
      </c>
      <c r="BW30" s="78">
        <f t="shared" si="8"/>
        <v>4099.64</v>
      </c>
      <c r="BX30" s="78">
        <f t="shared" si="9"/>
        <v>0</v>
      </c>
      <c r="BY30" s="78">
        <f t="shared" si="10"/>
        <v>633.01</v>
      </c>
      <c r="BZ30" s="78">
        <f t="shared" si="11"/>
        <v>54.6</v>
      </c>
    </row>
    <row r="31" spans="2:78" s="39" customFormat="1" ht="12.75">
      <c r="B31" s="70">
        <v>1</v>
      </c>
      <c r="C31" s="261"/>
      <c r="D31" s="43">
        <f>'Расчет Пойк'!C86</f>
        <v>1701</v>
      </c>
      <c r="E31" s="122"/>
      <c r="F31" s="43">
        <f>'Расчет Пойк'!G86</f>
        <v>0</v>
      </c>
      <c r="G31" s="58"/>
      <c r="H31" s="43">
        <f>'Расчет Пойк'!K86</f>
        <v>386.4</v>
      </c>
      <c r="I31" s="168"/>
      <c r="J31" s="43">
        <f>'Расчет Пойк'!O86</f>
        <v>0</v>
      </c>
      <c r="K31" s="151"/>
      <c r="L31" s="70">
        <v>1</v>
      </c>
      <c r="M31" s="58"/>
      <c r="N31" s="45">
        <f>'Расчет Пойк'!T86</f>
        <v>1184.4</v>
      </c>
      <c r="O31" s="122"/>
      <c r="P31" s="43">
        <v>0</v>
      </c>
      <c r="Q31" s="58"/>
      <c r="R31" s="43">
        <f>'Расчет Пойк'!AC86</f>
        <v>29.4</v>
      </c>
      <c r="S31" s="68"/>
      <c r="T31" s="43">
        <f>'Расчет Пойк'!AG86</f>
        <v>75.6</v>
      </c>
      <c r="U31" s="151"/>
      <c r="V31" s="70">
        <v>1</v>
      </c>
      <c r="W31" s="58"/>
      <c r="X31" s="43">
        <f>'Расчет Пойк'!AL86</f>
        <v>267.84</v>
      </c>
      <c r="Y31" s="168"/>
      <c r="Z31" s="43">
        <f>'Расчет Пойк'!AR86</f>
        <v>0</v>
      </c>
      <c r="AA31" s="58"/>
      <c r="AB31" s="43">
        <f>'Расчет Пойк'!AV86</f>
        <v>8.64</v>
      </c>
      <c r="AC31" s="527"/>
      <c r="AD31" s="43">
        <f>'Расчет Пойк'!BA86</f>
        <v>33.6</v>
      </c>
      <c r="AF31" s="70">
        <v>1</v>
      </c>
      <c r="AG31" s="58"/>
      <c r="AH31" s="43">
        <f>'Расчет Пойк'!BZ86</f>
        <v>401.28</v>
      </c>
      <c r="AI31" s="58"/>
      <c r="AJ31" s="43">
        <f>'Расчет Пойк'!CF86</f>
        <v>0</v>
      </c>
      <c r="AK31" s="68"/>
      <c r="AL31" s="43">
        <f>'Расчет Пойк'!CJ86</f>
        <v>125.76</v>
      </c>
      <c r="AM31" s="58"/>
      <c r="AN31" s="43">
        <f>'Расчет Пойк'!CO86</f>
        <v>0</v>
      </c>
      <c r="AO31" s="151"/>
      <c r="AP31" s="70">
        <v>1</v>
      </c>
      <c r="AQ31" s="261"/>
      <c r="AR31" s="43">
        <f>'Расчет Пойк'!BF86</f>
        <v>0.012</v>
      </c>
      <c r="AS31" s="261"/>
      <c r="AT31" s="43">
        <v>0</v>
      </c>
      <c r="AU31" s="68"/>
      <c r="AV31" s="342">
        <f>'Расчет Пойк'!BP86</f>
        <v>0.024</v>
      </c>
      <c r="AW31" s="168"/>
      <c r="AX31" s="43">
        <v>0</v>
      </c>
      <c r="AY31" s="344"/>
      <c r="AZ31" s="70">
        <v>1</v>
      </c>
      <c r="BA31" s="261"/>
      <c r="BB31" s="43">
        <f>'Расчет Пойк'!CT86</f>
        <v>0.432</v>
      </c>
      <c r="BC31" s="261"/>
      <c r="BD31" s="43">
        <v>0</v>
      </c>
      <c r="BE31" s="261"/>
      <c r="BF31" s="43">
        <f>'Расчет Пойк'!DD86</f>
        <v>0.696</v>
      </c>
      <c r="BG31" s="261"/>
      <c r="BH31" s="43">
        <v>0</v>
      </c>
      <c r="BJ31" s="70">
        <v>1</v>
      </c>
      <c r="BK31" s="78">
        <f t="shared" si="0"/>
        <v>1968.85</v>
      </c>
      <c r="BL31" s="45">
        <f t="shared" si="1"/>
        <v>0</v>
      </c>
      <c r="BM31" s="78">
        <f t="shared" si="2"/>
        <v>395.06</v>
      </c>
      <c r="BN31" s="75">
        <f t="shared" si="3"/>
        <v>33.6</v>
      </c>
      <c r="BP31" s="70">
        <v>1</v>
      </c>
      <c r="BQ31" s="78">
        <f t="shared" si="4"/>
        <v>1586.11</v>
      </c>
      <c r="BR31" s="45">
        <f t="shared" si="5"/>
        <v>0</v>
      </c>
      <c r="BS31" s="78">
        <f t="shared" si="6"/>
        <v>155.86</v>
      </c>
      <c r="BT31" s="75">
        <f t="shared" si="7"/>
        <v>75.6</v>
      </c>
      <c r="BV31" s="70">
        <v>1</v>
      </c>
      <c r="BW31" s="78">
        <f t="shared" si="8"/>
        <v>3554.96</v>
      </c>
      <c r="BX31" s="78">
        <f t="shared" si="9"/>
        <v>0</v>
      </c>
      <c r="BY31" s="78">
        <f t="shared" si="10"/>
        <v>550.9200000000001</v>
      </c>
      <c r="BZ31" s="78">
        <f t="shared" si="11"/>
        <v>109.19999999999999</v>
      </c>
    </row>
    <row r="32" spans="2:78" s="39" customFormat="1" ht="13.5" thickBot="1">
      <c r="B32" s="152">
        <v>2</v>
      </c>
      <c r="C32" s="262"/>
      <c r="D32" s="525">
        <f>'Расчет Пойк'!C87</f>
        <v>1566.6</v>
      </c>
      <c r="E32" s="54"/>
      <c r="F32" s="43">
        <f>'Расчет Пойк'!G87</f>
        <v>0</v>
      </c>
      <c r="G32" s="59"/>
      <c r="H32" s="43">
        <f>'Расчет Пойк'!K87</f>
        <v>386.4</v>
      </c>
      <c r="I32" s="169"/>
      <c r="J32" s="43">
        <f>'Расчет Пойк'!O87</f>
        <v>0</v>
      </c>
      <c r="K32" s="151"/>
      <c r="L32" s="152">
        <v>2</v>
      </c>
      <c r="M32" s="59"/>
      <c r="N32" s="45">
        <f>'Расчет Пойк'!T87</f>
        <v>1029</v>
      </c>
      <c r="O32" s="123"/>
      <c r="P32" s="525">
        <v>0</v>
      </c>
      <c r="Q32" s="59"/>
      <c r="R32" s="43">
        <f>'Расчет Пойк'!AC87</f>
        <v>8.4</v>
      </c>
      <c r="S32" s="58"/>
      <c r="T32" s="43">
        <f>'Расчет Пойк'!AG87</f>
        <v>168</v>
      </c>
      <c r="U32" s="151"/>
      <c r="V32" s="152">
        <v>2</v>
      </c>
      <c r="W32" s="59"/>
      <c r="X32" s="43">
        <f>'Расчет Пойк'!AL87</f>
        <v>265.92</v>
      </c>
      <c r="Y32" s="168"/>
      <c r="Z32" s="43">
        <f>'Расчет Пойк'!AR87</f>
        <v>0</v>
      </c>
      <c r="AA32" s="59"/>
      <c r="AB32" s="43">
        <f>'Расчет Пойк'!AV87</f>
        <v>0.96</v>
      </c>
      <c r="AC32" s="528"/>
      <c r="AD32" s="43">
        <f>'Расчет Пойк'!BA87</f>
        <v>38.4</v>
      </c>
      <c r="AF32" s="152">
        <v>2</v>
      </c>
      <c r="AG32" s="59"/>
      <c r="AH32" s="43">
        <f>'Расчет Пойк'!BZ87</f>
        <v>386.88</v>
      </c>
      <c r="AI32" s="59"/>
      <c r="AJ32" s="43">
        <f>'Расчет Пойк'!CF87</f>
        <v>0</v>
      </c>
      <c r="AK32" s="58"/>
      <c r="AL32" s="43">
        <f>'Расчет Пойк'!CJ87</f>
        <v>114.24</v>
      </c>
      <c r="AM32" s="59"/>
      <c r="AN32" s="43">
        <f>'Расчет Пойк'!CO87</f>
        <v>0</v>
      </c>
      <c r="AO32" s="151"/>
      <c r="AP32" s="152">
        <v>2</v>
      </c>
      <c r="AQ32" s="262"/>
      <c r="AR32" s="525">
        <f>'Расчет Пойк'!BF87</f>
        <v>0.006</v>
      </c>
      <c r="AS32" s="262"/>
      <c r="AT32" s="525">
        <v>0</v>
      </c>
      <c r="AU32" s="58"/>
      <c r="AV32" s="342">
        <f>'Расчет Пойк'!BP87</f>
        <v>0.024</v>
      </c>
      <c r="AW32" s="168"/>
      <c r="AX32" s="43">
        <v>0</v>
      </c>
      <c r="AY32" s="344"/>
      <c r="AZ32" s="152">
        <v>2</v>
      </c>
      <c r="BA32" s="262"/>
      <c r="BB32" s="525">
        <f>'Расчет Пойк'!CT87</f>
        <v>0.168</v>
      </c>
      <c r="BC32" s="262"/>
      <c r="BD32" s="525">
        <v>0</v>
      </c>
      <c r="BE32" s="262"/>
      <c r="BF32" s="525">
        <f>'Расчет Пойк'!DD87</f>
        <v>0.222</v>
      </c>
      <c r="BG32" s="262"/>
      <c r="BH32" s="525">
        <v>0</v>
      </c>
      <c r="BJ32" s="152">
        <v>2</v>
      </c>
      <c r="BK32" s="78">
        <f t="shared" si="0"/>
        <v>1832.53</v>
      </c>
      <c r="BL32" s="45">
        <f t="shared" si="1"/>
        <v>0</v>
      </c>
      <c r="BM32" s="78">
        <f t="shared" si="2"/>
        <v>387.38</v>
      </c>
      <c r="BN32" s="75">
        <f t="shared" si="3"/>
        <v>38.4</v>
      </c>
      <c r="BP32" s="152">
        <v>2</v>
      </c>
      <c r="BQ32" s="78">
        <f t="shared" si="4"/>
        <v>1416.05</v>
      </c>
      <c r="BR32" s="45">
        <f t="shared" si="5"/>
        <v>0</v>
      </c>
      <c r="BS32" s="78">
        <f t="shared" si="6"/>
        <v>122.86</v>
      </c>
      <c r="BT32" s="75">
        <f t="shared" si="7"/>
        <v>168</v>
      </c>
      <c r="BV32" s="152">
        <v>2</v>
      </c>
      <c r="BW32" s="78">
        <f t="shared" si="8"/>
        <v>3248.58</v>
      </c>
      <c r="BX32" s="78">
        <f t="shared" si="9"/>
        <v>0</v>
      </c>
      <c r="BY32" s="78">
        <f t="shared" si="10"/>
        <v>510.24</v>
      </c>
      <c r="BZ32" s="78">
        <f t="shared" si="11"/>
        <v>206.4</v>
      </c>
    </row>
    <row r="33" spans="2:78" ht="16.5" thickBot="1">
      <c r="B33" s="707" t="s">
        <v>14</v>
      </c>
      <c r="C33" s="792"/>
      <c r="D33" s="120">
        <f>SUM(D9:D32)</f>
        <v>53213.99999999999</v>
      </c>
      <c r="E33" s="66"/>
      <c r="F33" s="20">
        <f>SUM(F9:F32)</f>
        <v>0</v>
      </c>
      <c r="G33" s="66"/>
      <c r="H33" s="20">
        <f>SUM(H9:H32)</f>
        <v>10760.4</v>
      </c>
      <c r="I33" s="66"/>
      <c r="J33" s="22">
        <f>SUM(J9:J32)</f>
        <v>0</v>
      </c>
      <c r="K33" s="94"/>
      <c r="L33" s="707" t="s">
        <v>14</v>
      </c>
      <c r="M33" s="792"/>
      <c r="N33" s="22">
        <f>SUM(N9:N32)</f>
        <v>38896.200000000004</v>
      </c>
      <c r="O33" s="119"/>
      <c r="P33" s="120">
        <f>SUM(P9:P32)</f>
        <v>0</v>
      </c>
      <c r="Q33" s="66"/>
      <c r="R33" s="20">
        <f>SUM(R9:R32)</f>
        <v>2423.4000000000005</v>
      </c>
      <c r="S33" s="66"/>
      <c r="T33" s="22">
        <f>SUM(T9:T32)</f>
        <v>1264.2</v>
      </c>
      <c r="U33" s="94"/>
      <c r="V33" s="707" t="s">
        <v>14</v>
      </c>
      <c r="W33" s="792"/>
      <c r="X33" s="22">
        <f>SUM(X9:X32)</f>
        <v>6715.2</v>
      </c>
      <c r="Y33" s="529"/>
      <c r="Z33" s="22">
        <f>SUM(Z9:Z32)</f>
        <v>0</v>
      </c>
      <c r="AA33" s="529"/>
      <c r="AB33" s="22">
        <f>SUM(AB9:AB32)</f>
        <v>865.9199999999998</v>
      </c>
      <c r="AC33" s="66"/>
      <c r="AD33" s="22">
        <f>SUM(AD9:AD32)</f>
        <v>330.24000000000007</v>
      </c>
      <c r="AE33" s="94"/>
      <c r="AF33" s="707" t="s">
        <v>14</v>
      </c>
      <c r="AG33" s="792"/>
      <c r="AH33" s="22">
        <f>SUM(AH9:AH32)</f>
        <v>10681.92</v>
      </c>
      <c r="AI33" s="66"/>
      <c r="AJ33" s="20">
        <f>SUM(AJ9:AJ32)</f>
        <v>0</v>
      </c>
      <c r="AK33" s="66"/>
      <c r="AL33" s="20">
        <f>SUM(AL9:AL32)</f>
        <v>2907.8399999999997</v>
      </c>
      <c r="AM33" s="66"/>
      <c r="AN33" s="22">
        <f>SUM(AN9:AN32)</f>
        <v>0</v>
      </c>
      <c r="AO33" s="94"/>
      <c r="AP33" s="707" t="s">
        <v>14</v>
      </c>
      <c r="AQ33" s="792"/>
      <c r="AR33" s="22">
        <f>SUM(AR9:AR32)</f>
        <v>0.2220000000000001</v>
      </c>
      <c r="AS33" s="66"/>
      <c r="AT33" s="20">
        <f>SUM(AT9:AT32)</f>
        <v>0</v>
      </c>
      <c r="AU33" s="66"/>
      <c r="AV33" s="343">
        <f>SUM(AV9:AV32)</f>
        <v>0.6120000000000003</v>
      </c>
      <c r="AW33" s="66"/>
      <c r="AX33" s="22">
        <f>SUM(AX9:AX32)</f>
        <v>0</v>
      </c>
      <c r="AY33" s="94"/>
      <c r="AZ33" s="707" t="s">
        <v>14</v>
      </c>
      <c r="BA33" s="792"/>
      <c r="BB33" s="22">
        <f>SUM(BB9:BB32)</f>
        <v>3.564000000000001</v>
      </c>
      <c r="BC33" s="66"/>
      <c r="BD33" s="20">
        <f>SUM(BD9:BD32)</f>
        <v>0</v>
      </c>
      <c r="BE33" s="66"/>
      <c r="BF33" s="343">
        <f>SUM(BF9:BF32)</f>
        <v>4.356000000000001</v>
      </c>
      <c r="BG33" s="66"/>
      <c r="BH33" s="22">
        <f>SUM(BH9:BH32)</f>
        <v>0</v>
      </c>
      <c r="BK33" s="79">
        <f>SUM(BK9:BK32)</f>
        <v>59929.43999999998</v>
      </c>
      <c r="BL33" s="20">
        <f>SUM(BL9:BL32)</f>
        <v>0</v>
      </c>
      <c r="BM33" s="20">
        <f>SUM(BM9:BM32)</f>
        <v>11626.859999999999</v>
      </c>
      <c r="BN33" s="22">
        <f>SUM(BN9:BN32)</f>
        <v>330.24000000000007</v>
      </c>
      <c r="BQ33" s="79">
        <f>SUM(BQ9:BQ32)</f>
        <v>49581.72000000001</v>
      </c>
      <c r="BR33" s="20">
        <f>SUM(BR9:BR32)</f>
        <v>0</v>
      </c>
      <c r="BS33" s="20">
        <f>SUM(BS9:BS32)</f>
        <v>5335.549999999998</v>
      </c>
      <c r="BT33" s="22">
        <f>SUM(BT9:BT32)</f>
        <v>1264.2</v>
      </c>
      <c r="BW33" s="79">
        <f>SUM(BW9:BW32)</f>
        <v>109511.16000000002</v>
      </c>
      <c r="BX33" s="20">
        <f>SUM(BX9:BX32)</f>
        <v>0</v>
      </c>
      <c r="BY33" s="20">
        <f>SUM(BY9:BY32)</f>
        <v>16962.410000000003</v>
      </c>
      <c r="BZ33" s="22">
        <f>SUM(BZ9:BZ32)</f>
        <v>1594.4400000000003</v>
      </c>
    </row>
    <row r="35" spans="2:78" s="18" customFormat="1" ht="12.75">
      <c r="B35"/>
      <c r="C35"/>
      <c r="D35"/>
      <c r="E35"/>
      <c r="F35"/>
      <c r="G35"/>
      <c r="H35"/>
      <c r="I35"/>
      <c r="J35"/>
      <c r="K35" s="9"/>
      <c r="L35"/>
      <c r="M35"/>
      <c r="N35"/>
      <c r="O35"/>
      <c r="P35"/>
      <c r="Q35"/>
      <c r="R35"/>
      <c r="S35"/>
      <c r="T35"/>
      <c r="U35" s="9"/>
      <c r="V35"/>
      <c r="W35"/>
      <c r="X35"/>
      <c r="Y35"/>
      <c r="Z35"/>
      <c r="AA35"/>
      <c r="AB35"/>
      <c r="AC35"/>
      <c r="AD35"/>
      <c r="AE35" s="9"/>
      <c r="AF35"/>
      <c r="AG35"/>
      <c r="AH35"/>
      <c r="AI35"/>
      <c r="AJ35"/>
      <c r="AK35"/>
      <c r="AL35"/>
      <c r="AM35"/>
      <c r="AN35"/>
      <c r="AO35" s="9"/>
      <c r="AP35"/>
      <c r="AQ35"/>
      <c r="AR35"/>
      <c r="AS35"/>
      <c r="AT35"/>
      <c r="AU35"/>
      <c r="AV35"/>
      <c r="AW35"/>
      <c r="AX35"/>
      <c r="AY35" s="9"/>
      <c r="AZ35"/>
      <c r="BA35"/>
      <c r="BB35"/>
      <c r="BC35"/>
      <c r="BD35"/>
      <c r="BE35"/>
      <c r="BF35"/>
      <c r="BG35"/>
      <c r="BH35"/>
      <c r="BJ35"/>
      <c r="BK35"/>
      <c r="BL35"/>
      <c r="BM35"/>
      <c r="BN35"/>
      <c r="BP35"/>
      <c r="BQ35"/>
      <c r="BR35"/>
      <c r="BS35"/>
      <c r="BT35"/>
      <c r="BV35"/>
      <c r="BW35"/>
      <c r="BX35"/>
      <c r="BY35"/>
      <c r="BZ35"/>
    </row>
    <row r="36" spans="2:78" ht="15.75">
      <c r="B36" s="108" t="s">
        <v>63</v>
      </c>
      <c r="C36" s="18"/>
      <c r="D36" s="127">
        <f>SUM(D9:D32)/24</f>
        <v>2217.2499999999995</v>
      </c>
      <c r="E36" s="127"/>
      <c r="F36" s="127">
        <f>SUM(F9:F32)/24</f>
        <v>0</v>
      </c>
      <c r="G36" s="18"/>
      <c r="H36" s="127">
        <f>SUM(H9:H32)/24</f>
        <v>448.34999999999997</v>
      </c>
      <c r="I36" s="18"/>
      <c r="J36" s="127">
        <f>SUM(J9:J32)/24</f>
        <v>0</v>
      </c>
      <c r="K36" s="90"/>
      <c r="L36" s="18"/>
      <c r="M36" s="18"/>
      <c r="N36" s="127">
        <f>SUM(N9:N32)/24</f>
        <v>1620.6750000000002</v>
      </c>
      <c r="O36" s="18"/>
      <c r="P36" s="127">
        <f>SUM(P9:P32)/24</f>
        <v>0</v>
      </c>
      <c r="Q36" s="18"/>
      <c r="R36" s="127">
        <f>SUM(R9:R32)/24</f>
        <v>100.97500000000002</v>
      </c>
      <c r="S36" s="18"/>
      <c r="T36" s="127">
        <f>SUM(T9:T32)/24</f>
        <v>52.675000000000004</v>
      </c>
      <c r="U36" s="90"/>
      <c r="V36" s="18"/>
      <c r="W36" s="18"/>
      <c r="X36" s="127">
        <f>SUM(X9:X32)/24</f>
        <v>279.8</v>
      </c>
      <c r="Y36" s="18"/>
      <c r="Z36" s="127">
        <f>SUM(Z9:Z32)/24</f>
        <v>0</v>
      </c>
      <c r="AA36" s="18"/>
      <c r="AB36" s="127">
        <f>SUM(AB9:AB32)/24</f>
        <v>36.07999999999999</v>
      </c>
      <c r="AC36" s="18"/>
      <c r="AD36" s="127">
        <f>SUM(AD9:AD32)/24</f>
        <v>13.760000000000003</v>
      </c>
      <c r="AE36" s="90"/>
      <c r="AF36" s="18"/>
      <c r="AG36" s="18"/>
      <c r="AH36" s="127">
        <f>SUM(AH9:AH32)/24</f>
        <v>445.08</v>
      </c>
      <c r="AI36" s="18"/>
      <c r="AJ36" s="127">
        <f>SUM(AJ9:AJ32)/24</f>
        <v>0</v>
      </c>
      <c r="AK36" s="18"/>
      <c r="AL36" s="127">
        <f>SUM(AL9:AL32)/24</f>
        <v>121.15999999999998</v>
      </c>
      <c r="AM36" s="18"/>
      <c r="AN36" s="127">
        <f>SUM(AN9:AN32)/24</f>
        <v>0</v>
      </c>
      <c r="AO36" s="90"/>
      <c r="AP36" s="18"/>
      <c r="AQ36" s="18"/>
      <c r="AR36" s="127">
        <f>SUM(AR9:AR32)/24</f>
        <v>0.009250000000000003</v>
      </c>
      <c r="AS36" s="18"/>
      <c r="AT36" s="127">
        <f>SUM(AT9:AT32)/24</f>
        <v>0</v>
      </c>
      <c r="AU36" s="18"/>
      <c r="AV36" s="127">
        <f>SUM(AV9:AV32)/24</f>
        <v>0.025500000000000012</v>
      </c>
      <c r="AW36" s="18"/>
      <c r="AX36" s="127">
        <f>SUM(AX9:AX32)/24</f>
        <v>0</v>
      </c>
      <c r="AY36" s="90"/>
      <c r="AZ36" s="18"/>
      <c r="BA36" s="18"/>
      <c r="BB36" s="127">
        <f>SUM(BB9:BB32)/24</f>
        <v>0.14850000000000005</v>
      </c>
      <c r="BC36" s="18"/>
      <c r="BD36" s="127">
        <f>SUM(BD9:BD32)/24</f>
        <v>0</v>
      </c>
      <c r="BE36" s="18"/>
      <c r="BF36" s="127">
        <f>SUM(BF9:BF32)/24</f>
        <v>0.18150000000000002</v>
      </c>
      <c r="BG36" s="18"/>
      <c r="BH36" s="127">
        <f>SUM(BH9:BH32)/24</f>
        <v>0</v>
      </c>
      <c r="BJ36" s="18"/>
      <c r="BK36" s="127">
        <f>SUM(BK9:BK32)/24</f>
        <v>2497.059999999999</v>
      </c>
      <c r="BL36" s="127">
        <f>SUM(BL9:BL32)/24</f>
        <v>0</v>
      </c>
      <c r="BM36" s="127">
        <f>SUM(BM9:BM32)/24</f>
        <v>484.45249999999993</v>
      </c>
      <c r="BN36" s="127">
        <f>SUM(BN9:BN32)/24</f>
        <v>13.760000000000003</v>
      </c>
      <c r="BP36" s="18"/>
      <c r="BQ36" s="127">
        <f>SUM(BQ9:BQ32)/24</f>
        <v>2065.905</v>
      </c>
      <c r="BR36" s="127">
        <f>SUM(BR9:BR32)/24</f>
        <v>0</v>
      </c>
      <c r="BS36" s="127">
        <f>SUM(BS9:BS32)/24</f>
        <v>222.31458333333327</v>
      </c>
      <c r="BT36" s="127">
        <f>SUM(BT9:BT32)/24</f>
        <v>52.675000000000004</v>
      </c>
      <c r="BV36" s="18"/>
      <c r="BW36" s="127">
        <f>SUM(BW9:BW32)/24</f>
        <v>4562.965000000001</v>
      </c>
      <c r="BX36" s="127">
        <f>SUM(BX9:BX32)/24</f>
        <v>0</v>
      </c>
      <c r="BY36" s="127">
        <f>SUM(BY9:BY32)/24</f>
        <v>706.7670833333335</v>
      </c>
      <c r="BZ36" s="127">
        <f>SUM(BZ9:BZ32)/24</f>
        <v>66.43500000000002</v>
      </c>
    </row>
    <row r="37" spans="2:78" ht="15.75">
      <c r="B37" s="108" t="s">
        <v>64</v>
      </c>
      <c r="D37" s="127">
        <f>MAX(D9:D32)</f>
        <v>2746.8</v>
      </c>
      <c r="E37" s="127"/>
      <c r="F37" s="127">
        <f>MAX(F9:F32)</f>
        <v>0</v>
      </c>
      <c r="H37" s="127">
        <f>MAX(H9:H32)</f>
        <v>525</v>
      </c>
      <c r="J37" s="127">
        <f>MAX(J9:J32)</f>
        <v>0</v>
      </c>
      <c r="N37" s="127">
        <f>MAX(N9:N32)</f>
        <v>2129.4</v>
      </c>
      <c r="P37" s="127">
        <f>MAX(P9:P32)</f>
        <v>0</v>
      </c>
      <c r="R37" s="127">
        <f>MAX(R9:R32)</f>
        <v>218.4</v>
      </c>
      <c r="T37" s="127">
        <f>MAX(T9:T32)</f>
        <v>256.2</v>
      </c>
      <c r="X37" s="127">
        <f>MAX(X9:X32)</f>
        <v>351.36</v>
      </c>
      <c r="Z37" s="127">
        <f>MAX(Z9:Z32)</f>
        <v>0</v>
      </c>
      <c r="AB37" s="127">
        <f>MAX(AB9:AB32)</f>
        <v>79.68</v>
      </c>
      <c r="AD37" s="127">
        <f>MAX(AD9:AD32)</f>
        <v>38.4</v>
      </c>
      <c r="AH37" s="127">
        <f>MAX(AH9:AH32)</f>
        <v>520.32</v>
      </c>
      <c r="AJ37" s="127">
        <f>MAX(AJ9:AJ32)</f>
        <v>0</v>
      </c>
      <c r="AL37" s="127">
        <f>MAX(AL9:AL32)</f>
        <v>134.4</v>
      </c>
      <c r="AN37" s="127">
        <f>MAX(AN9:AN32)</f>
        <v>0</v>
      </c>
      <c r="AR37" s="127">
        <f>MAX(AR9:AR32)</f>
        <v>0.012</v>
      </c>
      <c r="AT37" s="127">
        <f>MAX(AT9:AT32)</f>
        <v>0</v>
      </c>
      <c r="AV37" s="127">
        <f>MAX(AV9:AV32)</f>
        <v>0.03</v>
      </c>
      <c r="AX37" s="127">
        <f>MAX(AX9:AX32)</f>
        <v>0</v>
      </c>
      <c r="BB37" s="127">
        <f>MAX(BB9:BB32)</f>
        <v>0.432</v>
      </c>
      <c r="BD37" s="127">
        <f>MAX(BD9:BD32)</f>
        <v>0</v>
      </c>
      <c r="BF37" s="127">
        <f>MAX(BF9:BF32)</f>
        <v>0.75</v>
      </c>
      <c r="BH37" s="127">
        <f>MAX(BH9:BH32)</f>
        <v>0</v>
      </c>
      <c r="BK37" s="127">
        <f>MAX(BK9:BK32)</f>
        <v>3075.97</v>
      </c>
      <c r="BL37" s="127">
        <f>MAX(BL9:BL32)</f>
        <v>0</v>
      </c>
      <c r="BM37" s="127">
        <f>MAX(BM9:BM32)</f>
        <v>581.19</v>
      </c>
      <c r="BN37" s="127">
        <f>MAX(BN9:BN32)</f>
        <v>38.4</v>
      </c>
      <c r="BQ37" s="127">
        <f>MAX(BQ9:BQ32)</f>
        <v>2639.26</v>
      </c>
      <c r="BR37" s="127">
        <f>MAX(BR9:BR32)</f>
        <v>0</v>
      </c>
      <c r="BS37" s="127">
        <f>MAX(BS9:BS32)</f>
        <v>342.32</v>
      </c>
      <c r="BT37" s="127">
        <f>MAX(BT9:BT32)</f>
        <v>256.2</v>
      </c>
      <c r="BW37" s="127">
        <f>MAX(BW9:BW32)</f>
        <v>5715.23</v>
      </c>
      <c r="BX37" s="127">
        <f>MAX(BX9:BX32)</f>
        <v>0</v>
      </c>
      <c r="BY37" s="127">
        <f>MAX(BY9:BY32)</f>
        <v>909.1099999999999</v>
      </c>
      <c r="BZ37" s="127">
        <f>MAX(BZ9:BZ32)</f>
        <v>288.84</v>
      </c>
    </row>
    <row r="38" spans="2:78" ht="15.75">
      <c r="B38" s="110" t="s">
        <v>54</v>
      </c>
      <c r="D38" s="128">
        <f>D36/D37</f>
        <v>0.8072120285423036</v>
      </c>
      <c r="E38" s="128"/>
      <c r="F38" s="128">
        <v>0</v>
      </c>
      <c r="H38" s="128">
        <f>H36/H37</f>
        <v>0.854</v>
      </c>
      <c r="J38" s="128">
        <v>0</v>
      </c>
      <c r="N38" s="128">
        <f>N36/N37</f>
        <v>0.761094674556213</v>
      </c>
      <c r="P38" s="128">
        <v>0</v>
      </c>
      <c r="R38" s="128">
        <f>R36/R37</f>
        <v>0.46233974358974367</v>
      </c>
      <c r="T38" s="128">
        <f>T36/T37</f>
        <v>0.2056010928961749</v>
      </c>
      <c r="X38" s="128">
        <f>X36/X37</f>
        <v>0.7963342440801457</v>
      </c>
      <c r="Z38" s="128">
        <v>0</v>
      </c>
      <c r="AB38" s="128">
        <f>AB36/AB37</f>
        <v>0.45281124497991954</v>
      </c>
      <c r="AD38" s="128">
        <f>AD36/AD37</f>
        <v>0.35833333333333345</v>
      </c>
      <c r="AH38" s="128">
        <f>AH36/AH37</f>
        <v>0.8553966789667895</v>
      </c>
      <c r="AJ38" s="128">
        <v>0</v>
      </c>
      <c r="AL38" s="128">
        <f>AL36/AL37</f>
        <v>0.901488095238095</v>
      </c>
      <c r="AN38" s="128">
        <v>0</v>
      </c>
      <c r="AR38" s="128">
        <f>AR36/AR37</f>
        <v>0.7708333333333336</v>
      </c>
      <c r="AT38" s="128">
        <v>0</v>
      </c>
      <c r="AV38" s="128">
        <f>AV36/AV37</f>
        <v>0.8500000000000004</v>
      </c>
      <c r="AX38" s="128">
        <v>0</v>
      </c>
      <c r="BB38" s="128">
        <f>BB36/BB37</f>
        <v>0.3437500000000001</v>
      </c>
      <c r="BD38" s="128">
        <v>0</v>
      </c>
      <c r="BF38" s="128">
        <f>BF36/BF37</f>
        <v>0.24200000000000002</v>
      </c>
      <c r="BH38" s="128">
        <v>0</v>
      </c>
      <c r="BK38" s="128">
        <f>BK36/BK37</f>
        <v>0.8117959537966882</v>
      </c>
      <c r="BL38" s="128">
        <v>0</v>
      </c>
      <c r="BM38" s="128">
        <f>BM36/BM37</f>
        <v>0.8335527108174605</v>
      </c>
      <c r="BN38" s="128">
        <f>BN36/BN37</f>
        <v>0.35833333333333345</v>
      </c>
      <c r="BQ38" s="128">
        <f>BQ36/BQ37</f>
        <v>0.7827591824981245</v>
      </c>
      <c r="BR38" s="128">
        <v>0</v>
      </c>
      <c r="BS38" s="128">
        <f>BS36/BS37</f>
        <v>0.6494349828620393</v>
      </c>
      <c r="BT38" s="128">
        <f>BT36/BT37</f>
        <v>0.2056010928961749</v>
      </c>
      <c r="BW38" s="128">
        <f>BW36/BW37</f>
        <v>0.7983869415579078</v>
      </c>
      <c r="BX38" s="128">
        <v>0</v>
      </c>
      <c r="BY38" s="128">
        <f>BY36/BY37</f>
        <v>0.7774274656898875</v>
      </c>
      <c r="BZ38" s="128">
        <f>BZ36/BZ37</f>
        <v>0.2300062318238472</v>
      </c>
    </row>
    <row r="39" ht="12.75">
      <c r="AK39" t="s">
        <v>13</v>
      </c>
    </row>
    <row r="40" ht="12.75">
      <c r="AM40" t="s">
        <v>13</v>
      </c>
    </row>
    <row r="41" ht="12.75">
      <c r="BF41" t="s">
        <v>13</v>
      </c>
    </row>
    <row r="42" spans="28:65" ht="12.75">
      <c r="AB42" t="s">
        <v>13</v>
      </c>
      <c r="AM42" t="s">
        <v>13</v>
      </c>
      <c r="BL42" t="s">
        <v>86</v>
      </c>
      <c r="BM42" s="186">
        <f>(BM33+BS33)/(BK33+BQ33)</f>
        <v>0.15489206762123603</v>
      </c>
    </row>
    <row r="43" spans="19:63" ht="12.75">
      <c r="S43" t="s">
        <v>13</v>
      </c>
      <c r="AC43" t="s">
        <v>13</v>
      </c>
      <c r="BK43" s="473"/>
    </row>
    <row r="44" ht="12.75">
      <c r="BH44" t="s">
        <v>13</v>
      </c>
    </row>
    <row r="45" ht="12.75">
      <c r="AD45" t="s">
        <v>13</v>
      </c>
    </row>
    <row r="46" ht="12.75">
      <c r="I46" t="s">
        <v>13</v>
      </c>
    </row>
    <row r="49" ht="12.75">
      <c r="Q49" t="s">
        <v>13</v>
      </c>
    </row>
  </sheetData>
  <sheetProtection/>
  <mergeCells count="57">
    <mergeCell ref="BV5:BZ5"/>
    <mergeCell ref="V5:AD5"/>
    <mergeCell ref="AF5:AN5"/>
    <mergeCell ref="AP5:AX5"/>
    <mergeCell ref="AZ5:BH5"/>
    <mergeCell ref="BJ5:BN5"/>
    <mergeCell ref="BP5:BT5"/>
    <mergeCell ref="BE7:BF7"/>
    <mergeCell ref="BG7:BH7"/>
    <mergeCell ref="BA6:BH6"/>
    <mergeCell ref="W6:AD6"/>
    <mergeCell ref="AW7:AX7"/>
    <mergeCell ref="AG7:AH7"/>
    <mergeCell ref="AI7:AJ7"/>
    <mergeCell ref="AK7:AL7"/>
    <mergeCell ref="AM7:AN7"/>
    <mergeCell ref="AU7:AV7"/>
    <mergeCell ref="I7:J7"/>
    <mergeCell ref="M7:N7"/>
    <mergeCell ref="O7:P7"/>
    <mergeCell ref="B6:B7"/>
    <mergeCell ref="C6:J6"/>
    <mergeCell ref="AS7:AT7"/>
    <mergeCell ref="M6:T6"/>
    <mergeCell ref="C7:D7"/>
    <mergeCell ref="E7:F7"/>
    <mergeCell ref="AF6:AF7"/>
    <mergeCell ref="B5:J5"/>
    <mergeCell ref="M5:T5"/>
    <mergeCell ref="L6:L7"/>
    <mergeCell ref="AA7:AB7"/>
    <mergeCell ref="AC7:AD7"/>
    <mergeCell ref="L33:M33"/>
    <mergeCell ref="B33:C33"/>
    <mergeCell ref="Q7:R7"/>
    <mergeCell ref="S7:T7"/>
    <mergeCell ref="G7:H7"/>
    <mergeCell ref="V33:W33"/>
    <mergeCell ref="AF33:AG33"/>
    <mergeCell ref="AP6:AP7"/>
    <mergeCell ref="AP33:AQ33"/>
    <mergeCell ref="AQ7:AR7"/>
    <mergeCell ref="W7:X7"/>
    <mergeCell ref="Y7:Z7"/>
    <mergeCell ref="V6:V7"/>
    <mergeCell ref="AG6:AN6"/>
    <mergeCell ref="AQ6:AX6"/>
    <mergeCell ref="BV6:BV7"/>
    <mergeCell ref="BW6:BZ6"/>
    <mergeCell ref="AZ33:BA33"/>
    <mergeCell ref="BJ6:BJ7"/>
    <mergeCell ref="BP6:BP7"/>
    <mergeCell ref="BK6:BN6"/>
    <mergeCell ref="AZ6:AZ7"/>
    <mergeCell ref="BQ6:BT6"/>
    <mergeCell ref="BA7:BB7"/>
    <mergeCell ref="BC7:BD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L78"/>
  <sheetViews>
    <sheetView view="pageBreakPreview" zoomScale="70" zoomScaleSheetLayoutView="70" zoomScalePageLayoutView="0" workbookViewId="0" topLeftCell="O4">
      <selection activeCell="G25" sqref="G25"/>
    </sheetView>
  </sheetViews>
  <sheetFormatPr defaultColWidth="9.140625" defaultRowHeight="12.75"/>
  <cols>
    <col min="1" max="1" width="5.8515625" style="0" hidden="1" customWidth="1"/>
    <col min="2" max="2" width="10.00390625" style="0" hidden="1" customWidth="1"/>
    <col min="3" max="3" width="23.8515625" style="0" hidden="1" customWidth="1"/>
    <col min="4" max="6" width="24.00390625" style="0" hidden="1" customWidth="1"/>
    <col min="7" max="7" width="10.57421875" style="0" hidden="1" customWidth="1"/>
    <col min="8" max="8" width="11.57421875" style="0" hidden="1" customWidth="1"/>
    <col min="9" max="12" width="17.7109375" style="0" hidden="1" customWidth="1"/>
    <col min="13" max="13" width="20.7109375" style="0" hidden="1" customWidth="1"/>
    <col min="14" max="14" width="13.00390625" style="0" hidden="1" customWidth="1"/>
    <col min="15" max="15" width="6.140625" style="0" customWidth="1"/>
    <col min="16" max="16" width="12.421875" style="0" customWidth="1"/>
    <col min="17" max="17" width="11.140625" style="0" customWidth="1"/>
    <col min="18" max="18" width="12.421875" style="0" customWidth="1"/>
    <col min="19" max="20" width="12.140625" style="0" customWidth="1"/>
    <col min="21" max="21" width="11.28125" style="0" customWidth="1"/>
    <col min="22" max="22" width="12.421875" style="0" customWidth="1"/>
    <col min="23" max="24" width="11.00390625" style="0" customWidth="1"/>
    <col min="25" max="25" width="11.57421875" style="0" customWidth="1"/>
    <col min="26" max="26" width="12.7109375" style="0" customWidth="1"/>
    <col min="27" max="27" width="12.28125" style="0" customWidth="1"/>
    <col min="28" max="28" width="12.140625" style="0" customWidth="1"/>
    <col min="29" max="29" width="9.7109375" style="0" customWidth="1"/>
    <col min="30" max="30" width="11.00390625" style="0" customWidth="1"/>
    <col min="31" max="31" width="12.28125" style="0" customWidth="1"/>
    <col min="32" max="32" width="11.00390625" style="0" customWidth="1"/>
    <col min="33" max="33" width="10.00390625" style="0" customWidth="1"/>
    <col min="34" max="34" width="11.00390625" style="0" customWidth="1"/>
    <col min="35" max="35" width="12.28125" style="0" customWidth="1"/>
    <col min="36" max="36" width="11.00390625" style="0" customWidth="1"/>
    <col min="37" max="37" width="10.00390625" style="0" customWidth="1"/>
    <col min="38" max="38" width="11.00390625" style="0" customWidth="1"/>
    <col min="39" max="39" width="10.00390625" style="0" customWidth="1"/>
    <col min="40" max="40" width="11.00390625" style="0" customWidth="1"/>
    <col min="41" max="41" width="10.00390625" style="0" customWidth="1"/>
    <col min="42" max="42" width="11.00390625" style="0" customWidth="1"/>
    <col min="43" max="43" width="10.00390625" style="0" customWidth="1"/>
    <col min="44" max="44" width="11.00390625" style="0" customWidth="1"/>
    <col min="45" max="45" width="10.00390625" style="0" customWidth="1"/>
    <col min="46" max="46" width="13.421875" style="0" customWidth="1"/>
    <col min="47" max="47" width="10.00390625" style="0" customWidth="1"/>
    <col min="48" max="48" width="13.140625" style="0" customWidth="1"/>
    <col min="49" max="49" width="10.00390625" style="0" customWidth="1"/>
    <col min="50" max="50" width="12.00390625" style="0" customWidth="1"/>
    <col min="51" max="51" width="10.00390625" style="0" customWidth="1"/>
    <col min="52" max="52" width="12.00390625" style="0" customWidth="1"/>
    <col min="53" max="53" width="9.28125" style="0" customWidth="1"/>
    <col min="54" max="54" width="10.8515625" style="0" customWidth="1"/>
    <col min="55" max="55" width="9.28125" style="0" customWidth="1"/>
    <col min="56" max="56" width="11.28125" style="0" customWidth="1"/>
    <col min="57" max="57" width="9.28125" style="0" customWidth="1"/>
    <col min="58" max="58" width="14.7109375" style="0" customWidth="1"/>
    <col min="59" max="59" width="23.00390625" style="0" customWidth="1"/>
  </cols>
  <sheetData>
    <row r="1" spans="2:66" ht="33.75" customHeight="1">
      <c r="B1" s="655" t="s">
        <v>301</v>
      </c>
      <c r="C1" s="655"/>
      <c r="D1" s="655"/>
      <c r="E1" s="655"/>
      <c r="F1" s="655"/>
      <c r="G1" s="679" t="s">
        <v>292</v>
      </c>
      <c r="H1" s="679"/>
      <c r="I1" s="679"/>
      <c r="J1" s="679"/>
      <c r="K1" s="679"/>
      <c r="L1" s="679"/>
      <c r="M1" s="679"/>
      <c r="N1" s="679"/>
      <c r="O1" s="679" t="str">
        <f>'У-Ю, Ю  Обь РН-ЮНГ'!A1</f>
        <v>Ведомость контрольных замеров электрических нагрузок в сетях филиала АО "Горэлектросеть" "ПЭС", присоединенных к сетям ООО "РН-Юганскнефтегаз",</v>
      </c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545"/>
      <c r="AG1" s="545"/>
      <c r="AH1" s="679"/>
      <c r="AI1" s="679"/>
      <c r="AJ1" s="679"/>
      <c r="AK1" s="679"/>
      <c r="AL1" s="679"/>
      <c r="AM1" s="679"/>
      <c r="AN1" s="679"/>
      <c r="AO1" s="679"/>
      <c r="AP1" s="679"/>
      <c r="AQ1" s="679"/>
      <c r="AR1" s="679"/>
      <c r="AS1" s="679"/>
      <c r="AT1" s="679"/>
      <c r="AU1" s="679"/>
      <c r="AV1" s="679"/>
      <c r="AW1" s="679"/>
      <c r="AX1" s="679"/>
      <c r="AY1" s="679"/>
      <c r="AZ1" s="679"/>
      <c r="BA1" s="679"/>
      <c r="BB1" s="679"/>
      <c r="BC1" s="679"/>
      <c r="BD1" s="679"/>
      <c r="BE1" s="679"/>
      <c r="BF1" s="679"/>
      <c r="BG1" s="211"/>
      <c r="BH1" s="211"/>
      <c r="BI1" s="211"/>
      <c r="BJ1" s="211"/>
      <c r="BK1" s="211"/>
      <c r="BL1" s="211"/>
      <c r="BM1" s="211"/>
      <c r="BN1" s="211"/>
    </row>
    <row r="2" spans="1:66" ht="25.5" customHeight="1">
      <c r="A2" s="105"/>
      <c r="B2" s="655"/>
      <c r="C2" s="655"/>
      <c r="D2" s="655"/>
      <c r="E2" s="655"/>
      <c r="F2" s="655"/>
      <c r="G2" s="680"/>
      <c r="H2" s="680"/>
      <c r="I2" s="680"/>
      <c r="J2" s="680"/>
      <c r="K2" s="680"/>
      <c r="L2" s="680"/>
      <c r="M2" s="680"/>
      <c r="N2" s="680"/>
      <c r="O2" s="680" t="str">
        <f>Дата!B2</f>
        <v>19 июня 2019 год</v>
      </c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33"/>
      <c r="AG2" s="633"/>
      <c r="AH2" s="633"/>
      <c r="AI2" s="633"/>
      <c r="AJ2" s="633"/>
      <c r="AK2" s="633"/>
      <c r="AL2" s="633"/>
      <c r="AM2" s="633"/>
      <c r="AN2" s="633"/>
      <c r="AO2" s="633"/>
      <c r="AP2" s="633"/>
      <c r="AQ2" s="633"/>
      <c r="AR2" s="633"/>
      <c r="AS2" s="633"/>
      <c r="AT2" s="633"/>
      <c r="AU2" s="633"/>
      <c r="AV2" s="633"/>
      <c r="AW2" s="633"/>
      <c r="AX2" s="633"/>
      <c r="AY2" s="633"/>
      <c r="AZ2" s="633"/>
      <c r="BA2" s="633"/>
      <c r="BB2" s="633"/>
      <c r="BC2" s="633"/>
      <c r="BD2" s="633"/>
      <c r="BE2" s="633"/>
      <c r="BF2" s="633"/>
      <c r="BG2" s="211"/>
      <c r="BH2" s="211"/>
      <c r="BI2" s="211"/>
      <c r="BJ2" s="211"/>
      <c r="BK2" s="211"/>
      <c r="BL2" s="211"/>
      <c r="BM2" s="211"/>
      <c r="BN2" s="211"/>
    </row>
    <row r="3" spans="1:66" ht="25.5" customHeight="1">
      <c r="A3" s="105"/>
      <c r="B3" s="105"/>
      <c r="C3" s="105"/>
      <c r="D3" s="105"/>
      <c r="E3" s="105"/>
      <c r="F3" s="105"/>
      <c r="G3" s="211"/>
      <c r="H3" s="211"/>
      <c r="I3" s="211"/>
      <c r="J3" s="211"/>
      <c r="K3" s="211"/>
      <c r="L3" s="211"/>
      <c r="M3" s="211"/>
      <c r="N3" s="211"/>
      <c r="O3" s="674" t="s">
        <v>323</v>
      </c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  <c r="BA3" s="633"/>
      <c r="BB3" s="633"/>
      <c r="BC3" s="633"/>
      <c r="BD3" s="633"/>
      <c r="BE3" s="633"/>
      <c r="BF3" s="633"/>
      <c r="BG3" s="211"/>
      <c r="BH3" s="211"/>
      <c r="BI3" s="211"/>
      <c r="BJ3" s="211"/>
      <c r="BK3" s="211"/>
      <c r="BL3" s="211"/>
      <c r="BM3" s="211"/>
      <c r="BN3" s="211"/>
    </row>
    <row r="4" spans="2:60" ht="16.5" customHeight="1" thickBot="1">
      <c r="B4" s="655" t="s">
        <v>289</v>
      </c>
      <c r="C4" s="655"/>
      <c r="D4" s="655"/>
      <c r="E4" s="655"/>
      <c r="F4" s="655"/>
      <c r="P4" s="25"/>
      <c r="Q4" s="24"/>
      <c r="R4" s="26"/>
      <c r="S4" s="24"/>
      <c r="T4" s="26"/>
      <c r="U4" s="24"/>
      <c r="V4" s="26"/>
      <c r="W4" s="24"/>
      <c r="X4" s="3"/>
      <c r="Y4" s="189"/>
      <c r="Z4" s="3"/>
      <c r="AA4" s="3"/>
      <c r="AB4" s="26"/>
      <c r="AC4" s="24"/>
      <c r="AD4" s="26"/>
      <c r="AE4" s="546" t="s">
        <v>253</v>
      </c>
      <c r="AF4" s="26"/>
      <c r="AH4" s="26"/>
      <c r="AI4" s="27"/>
      <c r="AJ4" s="26"/>
      <c r="AK4" s="27"/>
      <c r="AL4" s="27"/>
      <c r="AM4" s="27"/>
      <c r="AN4" s="27"/>
      <c r="AO4" s="27"/>
      <c r="AP4" s="27"/>
      <c r="AQ4" s="27"/>
      <c r="AR4" s="27"/>
      <c r="AS4" s="27"/>
      <c r="AT4" s="26"/>
      <c r="AU4" s="27"/>
      <c r="AV4" s="26"/>
      <c r="AW4" s="27"/>
      <c r="AX4" s="26"/>
      <c r="AY4" s="27"/>
      <c r="AZ4" s="26"/>
      <c r="BA4" s="27"/>
      <c r="BB4" s="27"/>
      <c r="BC4" s="27"/>
      <c r="BD4" s="27"/>
      <c r="BE4" s="27"/>
      <c r="BF4" s="546" t="s">
        <v>254</v>
      </c>
      <c r="BG4" s="2"/>
      <c r="BH4" s="2"/>
    </row>
    <row r="5" spans="8:60" ht="0.75" customHeight="1" thickBot="1">
      <c r="H5" s="693" t="s">
        <v>22</v>
      </c>
      <c r="I5" s="717" t="s">
        <v>26</v>
      </c>
      <c r="J5" s="718"/>
      <c r="K5" s="718"/>
      <c r="L5" s="719"/>
      <c r="M5" s="686" t="s">
        <v>264</v>
      </c>
      <c r="N5" s="49"/>
      <c r="O5" s="693" t="s">
        <v>22</v>
      </c>
      <c r="P5" s="684" t="s">
        <v>1</v>
      </c>
      <c r="Q5" s="685"/>
      <c r="R5" s="685"/>
      <c r="S5" s="685"/>
      <c r="T5" s="685"/>
      <c r="U5" s="685"/>
      <c r="V5" s="685"/>
      <c r="W5" s="685"/>
      <c r="X5" s="685"/>
      <c r="Y5" s="685"/>
      <c r="Z5" s="685"/>
      <c r="AA5" s="685"/>
      <c r="AB5" s="685"/>
      <c r="AC5" s="685"/>
      <c r="AD5" s="685"/>
      <c r="AE5" s="685"/>
      <c r="AF5" s="685"/>
      <c r="AG5" s="685"/>
      <c r="AH5" s="685"/>
      <c r="AI5" s="685"/>
      <c r="AJ5" s="685"/>
      <c r="AK5" s="685"/>
      <c r="AL5" s="685"/>
      <c r="AM5" s="685"/>
      <c r="AN5" s="685"/>
      <c r="AO5" s="685"/>
      <c r="AP5" s="685"/>
      <c r="AQ5" s="685"/>
      <c r="AR5" s="685"/>
      <c r="AS5" s="685"/>
      <c r="AT5" s="685"/>
      <c r="AU5" s="685"/>
      <c r="AV5" s="685"/>
      <c r="AW5" s="685"/>
      <c r="AX5" s="685"/>
      <c r="AY5" s="685"/>
      <c r="AZ5" s="685"/>
      <c r="BA5" s="685"/>
      <c r="BB5" s="685"/>
      <c r="BC5" s="685"/>
      <c r="BD5" s="814"/>
      <c r="BE5" s="815"/>
      <c r="BF5" s="686" t="s">
        <v>265</v>
      </c>
      <c r="BG5" s="2"/>
      <c r="BH5" s="2"/>
    </row>
    <row r="6" spans="2:60" ht="36.75" customHeight="1" thickBot="1">
      <c r="B6" s="664" t="s">
        <v>22</v>
      </c>
      <c r="C6" s="619" t="s">
        <v>308</v>
      </c>
      <c r="D6" s="619" t="s">
        <v>310</v>
      </c>
      <c r="E6" s="619" t="s">
        <v>312</v>
      </c>
      <c r="F6" s="658" t="s">
        <v>307</v>
      </c>
      <c r="H6" s="694"/>
      <c r="I6" s="720" t="s">
        <v>260</v>
      </c>
      <c r="J6" s="721"/>
      <c r="K6" s="720" t="s">
        <v>259</v>
      </c>
      <c r="L6" s="721"/>
      <c r="M6" s="687"/>
      <c r="N6" s="49"/>
      <c r="O6" s="694"/>
      <c r="P6" s="810" t="s">
        <v>228</v>
      </c>
      <c r="Q6" s="811"/>
      <c r="R6" s="810" t="s">
        <v>2</v>
      </c>
      <c r="S6" s="811"/>
      <c r="T6" s="810" t="s">
        <v>3</v>
      </c>
      <c r="U6" s="811"/>
      <c r="V6" s="810" t="s">
        <v>247</v>
      </c>
      <c r="W6" s="811"/>
      <c r="X6" s="810" t="s">
        <v>248</v>
      </c>
      <c r="Y6" s="811"/>
      <c r="Z6" s="816" t="s">
        <v>4</v>
      </c>
      <c r="AA6" s="811"/>
      <c r="AB6" s="810" t="s">
        <v>5</v>
      </c>
      <c r="AC6" s="811"/>
      <c r="AD6" s="812" t="s">
        <v>204</v>
      </c>
      <c r="AE6" s="813"/>
      <c r="AF6" s="812" t="s">
        <v>205</v>
      </c>
      <c r="AG6" s="813"/>
      <c r="AH6" s="812" t="s">
        <v>221</v>
      </c>
      <c r="AI6" s="813"/>
      <c r="AJ6" s="812" t="s">
        <v>222</v>
      </c>
      <c r="AK6" s="813"/>
      <c r="AL6" s="812" t="s">
        <v>267</v>
      </c>
      <c r="AM6" s="813"/>
      <c r="AN6" s="812" t="s">
        <v>266</v>
      </c>
      <c r="AO6" s="813"/>
      <c r="AP6" s="812" t="s">
        <v>268</v>
      </c>
      <c r="AQ6" s="813"/>
      <c r="AR6" s="812" t="s">
        <v>269</v>
      </c>
      <c r="AS6" s="813"/>
      <c r="AT6" s="812" t="s">
        <v>15</v>
      </c>
      <c r="AU6" s="813"/>
      <c r="AV6" s="812" t="s">
        <v>123</v>
      </c>
      <c r="AW6" s="813"/>
      <c r="AX6" s="812" t="s">
        <v>223</v>
      </c>
      <c r="AY6" s="813"/>
      <c r="AZ6" s="812" t="s">
        <v>125</v>
      </c>
      <c r="BA6" s="813"/>
      <c r="BB6" s="812" t="s">
        <v>270</v>
      </c>
      <c r="BC6" s="813"/>
      <c r="BD6" s="812" t="s">
        <v>294</v>
      </c>
      <c r="BE6" s="813"/>
      <c r="BF6" s="687"/>
      <c r="BG6" s="2"/>
      <c r="BH6" s="2"/>
    </row>
    <row r="7" spans="2:60" ht="51.75" customHeight="1" thickBot="1">
      <c r="B7" s="665"/>
      <c r="C7" s="272" t="s">
        <v>309</v>
      </c>
      <c r="D7" s="272" t="s">
        <v>311</v>
      </c>
      <c r="E7" s="272" t="s">
        <v>313</v>
      </c>
      <c r="F7" s="659"/>
      <c r="H7" s="695"/>
      <c r="I7" s="551" t="s">
        <v>261</v>
      </c>
      <c r="J7" s="552" t="s">
        <v>43</v>
      </c>
      <c r="K7" s="553" t="s">
        <v>262</v>
      </c>
      <c r="L7" s="552" t="s">
        <v>43</v>
      </c>
      <c r="M7" s="688"/>
      <c r="N7" s="133"/>
      <c r="O7" s="695"/>
      <c r="P7" s="50" t="s">
        <v>71</v>
      </c>
      <c r="Q7" s="33" t="s">
        <v>21</v>
      </c>
      <c r="R7" s="50" t="s">
        <v>225</v>
      </c>
      <c r="S7" s="33" t="s">
        <v>43</v>
      </c>
      <c r="T7" s="32" t="s">
        <v>72</v>
      </c>
      <c r="U7" s="33" t="s">
        <v>43</v>
      </c>
      <c r="V7" s="50" t="s">
        <v>226</v>
      </c>
      <c r="W7" s="51" t="s">
        <v>43</v>
      </c>
      <c r="X7" s="50" t="s">
        <v>293</v>
      </c>
      <c r="Y7" s="33" t="s">
        <v>44</v>
      </c>
      <c r="Z7" s="188" t="s">
        <v>62</v>
      </c>
      <c r="AA7" s="51" t="s">
        <v>201</v>
      </c>
      <c r="AB7" s="50" t="s">
        <v>185</v>
      </c>
      <c r="AC7" s="51" t="s">
        <v>201</v>
      </c>
      <c r="AD7" s="50" t="s">
        <v>206</v>
      </c>
      <c r="AE7" s="51" t="s">
        <v>207</v>
      </c>
      <c r="AF7" s="50" t="s">
        <v>208</v>
      </c>
      <c r="AG7" s="51" t="s">
        <v>207</v>
      </c>
      <c r="AH7" s="50" t="s">
        <v>229</v>
      </c>
      <c r="AI7" s="51" t="s">
        <v>207</v>
      </c>
      <c r="AJ7" s="50" t="s">
        <v>230</v>
      </c>
      <c r="AK7" s="51" t="s">
        <v>207</v>
      </c>
      <c r="AL7" s="50" t="s">
        <v>272</v>
      </c>
      <c r="AM7" s="51" t="s">
        <v>44</v>
      </c>
      <c r="AN7" s="50" t="s">
        <v>273</v>
      </c>
      <c r="AO7" s="51" t="s">
        <v>44</v>
      </c>
      <c r="AP7" s="50" t="s">
        <v>274</v>
      </c>
      <c r="AQ7" s="51" t="s">
        <v>21</v>
      </c>
      <c r="AR7" s="50" t="s">
        <v>275</v>
      </c>
      <c r="AS7" s="51" t="s">
        <v>21</v>
      </c>
      <c r="AT7" s="50" t="s">
        <v>83</v>
      </c>
      <c r="AU7" s="51" t="s">
        <v>43</v>
      </c>
      <c r="AV7" s="50" t="s">
        <v>124</v>
      </c>
      <c r="AW7" s="51" t="s">
        <v>20</v>
      </c>
      <c r="AX7" s="50" t="s">
        <v>224</v>
      </c>
      <c r="AY7" s="51" t="s">
        <v>18</v>
      </c>
      <c r="AZ7" s="50" t="s">
        <v>126</v>
      </c>
      <c r="BA7" s="51" t="s">
        <v>103</v>
      </c>
      <c r="BB7" s="50" t="s">
        <v>271</v>
      </c>
      <c r="BC7" s="51" t="s">
        <v>17</v>
      </c>
      <c r="BD7" s="50" t="s">
        <v>295</v>
      </c>
      <c r="BE7" s="51" t="s">
        <v>43</v>
      </c>
      <c r="BF7" s="688"/>
      <c r="BG7" s="2"/>
      <c r="BH7" s="2"/>
    </row>
    <row r="8" spans="2:60" ht="19.5" customHeight="1">
      <c r="B8" s="37">
        <v>2</v>
      </c>
      <c r="C8" s="64"/>
      <c r="D8" s="64"/>
      <c r="E8" s="64"/>
      <c r="F8" s="212"/>
      <c r="H8" s="37">
        <v>2</v>
      </c>
      <c r="I8" s="574">
        <v>18132.385</v>
      </c>
      <c r="J8" s="180"/>
      <c r="K8" s="574">
        <v>5169.601</v>
      </c>
      <c r="L8" s="181"/>
      <c r="M8" s="212"/>
      <c r="N8" s="129"/>
      <c r="O8" s="37">
        <v>2</v>
      </c>
      <c r="P8" s="620">
        <v>67445</v>
      </c>
      <c r="Q8" s="180"/>
      <c r="R8" s="620">
        <v>27483.535</v>
      </c>
      <c r="S8" s="180"/>
      <c r="T8" s="620">
        <v>60624</v>
      </c>
      <c r="U8" s="180"/>
      <c r="V8" s="620">
        <v>19998.924</v>
      </c>
      <c r="W8" s="180"/>
      <c r="X8" s="620">
        <v>4791.9</v>
      </c>
      <c r="Y8" s="180"/>
      <c r="Z8" s="620">
        <v>29112</v>
      </c>
      <c r="AA8" s="180"/>
      <c r="AB8" s="620">
        <v>35650</v>
      </c>
      <c r="AC8" s="180"/>
      <c r="AD8" s="620">
        <v>2952</v>
      </c>
      <c r="AE8" s="180"/>
      <c r="AF8" s="620">
        <v>24.36</v>
      </c>
      <c r="AG8" s="180"/>
      <c r="AH8" s="620">
        <v>449.58</v>
      </c>
      <c r="AI8" s="180"/>
      <c r="AJ8" s="620">
        <v>1549.51</v>
      </c>
      <c r="AK8" s="180"/>
      <c r="AL8" s="620">
        <v>146.18</v>
      </c>
      <c r="AM8" s="180"/>
      <c r="AN8" s="620">
        <v>26.371</v>
      </c>
      <c r="AO8" s="180"/>
      <c r="AP8" s="648">
        <v>89.224</v>
      </c>
      <c r="AQ8" s="180"/>
      <c r="AR8" s="620">
        <v>547.785</v>
      </c>
      <c r="AS8" s="180"/>
      <c r="AT8" s="620">
        <v>30466</v>
      </c>
      <c r="AU8" s="180"/>
      <c r="AV8" s="620">
        <v>42255</v>
      </c>
      <c r="AW8" s="180"/>
      <c r="AX8" s="620">
        <v>10784.61</v>
      </c>
      <c r="AY8" s="180"/>
      <c r="AZ8" s="620">
        <v>13360</v>
      </c>
      <c r="BA8" s="180"/>
      <c r="BB8" s="620">
        <v>6495.627</v>
      </c>
      <c r="BC8" s="180"/>
      <c r="BD8" s="620">
        <v>1127.9</v>
      </c>
      <c r="BE8" s="180"/>
      <c r="BF8" s="533"/>
      <c r="BG8" s="2"/>
      <c r="BH8" s="2"/>
    </row>
    <row r="9" spans="2:60" ht="19.5" customHeight="1">
      <c r="B9" s="42">
        <v>3</v>
      </c>
      <c r="C9" s="567">
        <v>463</v>
      </c>
      <c r="D9" s="567">
        <v>151</v>
      </c>
      <c r="E9" s="567">
        <v>75</v>
      </c>
      <c r="F9" s="213">
        <f aca="true" t="shared" si="0" ref="F9:F32">C9+D9+E9</f>
        <v>689</v>
      </c>
      <c r="G9" s="524"/>
      <c r="H9" s="42">
        <v>3</v>
      </c>
      <c r="I9" s="575">
        <v>18132.682</v>
      </c>
      <c r="J9" s="554">
        <f>ROUND((I9-I8)*120,0)</f>
        <v>36</v>
      </c>
      <c r="K9" s="575">
        <v>5169.947</v>
      </c>
      <c r="L9" s="554">
        <f>ROUND((K9-K8)*120,0)</f>
        <v>42</v>
      </c>
      <c r="M9" s="213">
        <f>L9+J9</f>
        <v>78</v>
      </c>
      <c r="N9" s="129"/>
      <c r="O9" s="42">
        <v>3</v>
      </c>
      <c r="P9" s="620">
        <v>67445.263</v>
      </c>
      <c r="Q9" s="182">
        <f>ROUND((P9-P8)*80,0)</f>
        <v>21</v>
      </c>
      <c r="R9" s="620">
        <v>27484.172</v>
      </c>
      <c r="S9" s="182">
        <f>ROUND((R9-R8)*120,0)</f>
        <v>76</v>
      </c>
      <c r="T9" s="620">
        <v>60624.583</v>
      </c>
      <c r="U9" s="182">
        <f>ROUND((T9-T8)*120,0)</f>
        <v>70</v>
      </c>
      <c r="V9" s="620">
        <v>19999.123</v>
      </c>
      <c r="W9" s="182">
        <f>ROUND((V9-V8)*120,0)</f>
        <v>24</v>
      </c>
      <c r="X9" s="620">
        <v>4792.12</v>
      </c>
      <c r="Y9" s="182">
        <f>ROUND((X9-X8)*200,0)</f>
        <v>44</v>
      </c>
      <c r="Z9" s="620">
        <v>29113.281</v>
      </c>
      <c r="AA9" s="182">
        <f>ROUND((Z9-Z8)*160,0)</f>
        <v>205</v>
      </c>
      <c r="AB9" s="620">
        <v>35650.581</v>
      </c>
      <c r="AC9" s="182">
        <f>ROUND((AB9-AB8)*160,0)</f>
        <v>93</v>
      </c>
      <c r="AD9" s="620">
        <v>2952.043</v>
      </c>
      <c r="AE9" s="182">
        <f>ROUND((AD9-AD8)*300,0)</f>
        <v>13</v>
      </c>
      <c r="AF9" s="620">
        <v>24.36</v>
      </c>
      <c r="AG9" s="182">
        <f>ROUND((AF9-AF8)*300,0)</f>
        <v>0</v>
      </c>
      <c r="AH9" s="620">
        <v>449.58</v>
      </c>
      <c r="AI9" s="182">
        <f>ROUND((AH9-AH8)*300,0)</f>
        <v>0</v>
      </c>
      <c r="AJ9" s="620">
        <v>1549.51</v>
      </c>
      <c r="AK9" s="182">
        <f aca="true" t="shared" si="1" ref="AK9:AK32">ROUND((AJ9-AJ8)*300,0)</f>
        <v>0</v>
      </c>
      <c r="AL9" s="620">
        <v>146.18</v>
      </c>
      <c r="AM9" s="182">
        <f>ROUND((AL9-AL8)*200,0)</f>
        <v>0</v>
      </c>
      <c r="AN9" s="620">
        <v>26.371</v>
      </c>
      <c r="AO9" s="182">
        <f>ROUND((AN9-AN8)*200,0)</f>
        <v>0</v>
      </c>
      <c r="AP9" s="648">
        <v>89.224</v>
      </c>
      <c r="AQ9" s="182">
        <f aca="true" t="shared" si="2" ref="AQ9:AQ32">(AP9-AP8)*80</f>
        <v>0</v>
      </c>
      <c r="AR9" s="620">
        <v>547.785</v>
      </c>
      <c r="AS9" s="182">
        <f>ROUND((AR9-AR8)*80,0)</f>
        <v>0</v>
      </c>
      <c r="AT9" s="620">
        <v>30466</v>
      </c>
      <c r="AU9" s="182">
        <f>ROUND((AT9-AT8)*120,0)</f>
        <v>0</v>
      </c>
      <c r="AV9" s="620">
        <v>42255</v>
      </c>
      <c r="AW9" s="182">
        <f>ROUND((AV9-AV8)*40,0)</f>
        <v>0</v>
      </c>
      <c r="AX9" s="620">
        <v>10786.308</v>
      </c>
      <c r="AY9" s="182">
        <f>ROUND((AX9-AX8)*1,0)</f>
        <v>2</v>
      </c>
      <c r="AZ9" s="620">
        <v>13360</v>
      </c>
      <c r="BA9" s="182">
        <f>ROUND((AZ9-AZ8)*20,0)</f>
        <v>0</v>
      </c>
      <c r="BB9" s="620">
        <v>6495.66</v>
      </c>
      <c r="BC9" s="182">
        <f>ROUND((BB9-BB8)*30,0)</f>
        <v>1</v>
      </c>
      <c r="BD9" s="620">
        <v>1128.008</v>
      </c>
      <c r="BE9" s="182">
        <f>ROUND((BD9-BD8)*120,0)</f>
        <v>13</v>
      </c>
      <c r="BF9" s="534">
        <f aca="true" t="shared" si="3" ref="BF9:BF32">Q9+S9+U9+W9+Y9+AA9+AC9+AE9+AG9+AI9+AK9+AM9+AO9+AQ9+AS9+AU9+AW9+AY9+BA9+BC9+BE9</f>
        <v>562</v>
      </c>
      <c r="BG9" s="2"/>
      <c r="BH9" s="160"/>
    </row>
    <row r="10" spans="2:60" ht="19.5" customHeight="1">
      <c r="B10" s="70">
        <v>4</v>
      </c>
      <c r="C10" s="567">
        <v>460</v>
      </c>
      <c r="D10" s="567">
        <v>151</v>
      </c>
      <c r="E10" s="567">
        <v>71</v>
      </c>
      <c r="F10" s="213">
        <f t="shared" si="0"/>
        <v>682</v>
      </c>
      <c r="G10" s="524"/>
      <c r="H10" s="42">
        <v>4</v>
      </c>
      <c r="I10" s="575">
        <v>18132.975</v>
      </c>
      <c r="J10" s="554">
        <f aca="true" t="shared" si="4" ref="J10:J32">ROUND((I10-I9)*120,0)</f>
        <v>35</v>
      </c>
      <c r="K10" s="575">
        <v>5170.297</v>
      </c>
      <c r="L10" s="554">
        <f aca="true" t="shared" si="5" ref="L10:L32">ROUND((K10-K9)*120,0)</f>
        <v>42</v>
      </c>
      <c r="M10" s="213">
        <f aca="true" t="shared" si="6" ref="M10:M32">L10+J10</f>
        <v>77</v>
      </c>
      <c r="N10" s="129"/>
      <c r="O10" s="42">
        <v>4</v>
      </c>
      <c r="P10" s="620">
        <v>67445.725</v>
      </c>
      <c r="Q10" s="182">
        <f aca="true" t="shared" si="7" ref="Q10:Q32">ROUND((P10-P9)*80,0)</f>
        <v>37</v>
      </c>
      <c r="R10" s="620">
        <v>27484.762</v>
      </c>
      <c r="S10" s="182">
        <f aca="true" t="shared" si="8" ref="S10:S32">ROUND((R10-R9)*120,0)</f>
        <v>71</v>
      </c>
      <c r="T10" s="620">
        <v>60625.067</v>
      </c>
      <c r="U10" s="182">
        <f aca="true" t="shared" si="9" ref="U10:U32">ROUND((T10-T9)*120,0)</f>
        <v>58</v>
      </c>
      <c r="V10" s="620">
        <v>19999.334</v>
      </c>
      <c r="W10" s="182">
        <f aca="true" t="shared" si="10" ref="W10:W32">ROUND((V10-V9)*120,0)</f>
        <v>25</v>
      </c>
      <c r="X10" s="620">
        <v>4792.34</v>
      </c>
      <c r="Y10" s="182">
        <f aca="true" t="shared" si="11" ref="Y10:Y32">ROUND((X10-X9)*200,0)</f>
        <v>44</v>
      </c>
      <c r="Z10" s="620">
        <v>29114.163</v>
      </c>
      <c r="AA10" s="182">
        <f aca="true" t="shared" si="12" ref="AA10:AA32">ROUND((Z10-Z9)*160,0)</f>
        <v>141</v>
      </c>
      <c r="AB10" s="620">
        <v>35650.963</v>
      </c>
      <c r="AC10" s="182">
        <f aca="true" t="shared" si="13" ref="AC10:AC32">ROUND((AB10-AB9)*160,0)</f>
        <v>61</v>
      </c>
      <c r="AD10" s="620">
        <v>2952.087</v>
      </c>
      <c r="AE10" s="182">
        <f aca="true" t="shared" si="14" ref="AE10:AE32">ROUND((AD10-AD9)*300,0)</f>
        <v>13</v>
      </c>
      <c r="AF10" s="620">
        <v>24.36</v>
      </c>
      <c r="AG10" s="182">
        <f aca="true" t="shared" si="15" ref="AG10:AG32">ROUND((AF10-AF9)*300,0)</f>
        <v>0</v>
      </c>
      <c r="AH10" s="620">
        <v>449.58</v>
      </c>
      <c r="AI10" s="182">
        <f aca="true" t="shared" si="16" ref="AI10:AI32">ROUND((AH10-AH9)*300,0)</f>
        <v>0</v>
      </c>
      <c r="AJ10" s="620">
        <v>1549.52</v>
      </c>
      <c r="AK10" s="182">
        <f t="shared" si="1"/>
        <v>3</v>
      </c>
      <c r="AL10" s="620">
        <v>146.18</v>
      </c>
      <c r="AM10" s="182">
        <f aca="true" t="shared" si="17" ref="AM10:AM32">ROUND((AL10-AL9)*200,0)</f>
        <v>0</v>
      </c>
      <c r="AN10" s="620">
        <v>26.371</v>
      </c>
      <c r="AO10" s="182">
        <f aca="true" t="shared" si="18" ref="AO10:AO32">ROUND((AN10-AN9)*200,0)</f>
        <v>0</v>
      </c>
      <c r="AP10" s="648">
        <v>89.224</v>
      </c>
      <c r="AQ10" s="182">
        <f t="shared" si="2"/>
        <v>0</v>
      </c>
      <c r="AR10" s="620">
        <v>547.785</v>
      </c>
      <c r="AS10" s="182">
        <f aca="true" t="shared" si="19" ref="AS10:AS32">ROUND((AR10-AR9)*80,0)</f>
        <v>0</v>
      </c>
      <c r="AT10" s="620">
        <v>30466</v>
      </c>
      <c r="AU10" s="182">
        <f aca="true" t="shared" si="20" ref="AU10:AU32">ROUND((AT10-AT9)*120,0)</f>
        <v>0</v>
      </c>
      <c r="AV10" s="620">
        <v>42255.425</v>
      </c>
      <c r="AW10" s="182">
        <f aca="true" t="shared" si="21" ref="AW10:AW32">ROUND((AV10-AV9)*40,0)</f>
        <v>17</v>
      </c>
      <c r="AX10" s="620">
        <v>10788.023000000001</v>
      </c>
      <c r="AY10" s="182">
        <f aca="true" t="shared" si="22" ref="AY10:AY32">ROUND((AX10-AX9)*1,0)</f>
        <v>2</v>
      </c>
      <c r="AZ10" s="620">
        <v>13360</v>
      </c>
      <c r="BA10" s="182">
        <f aca="true" t="shared" si="23" ref="BA10:BA32">ROUND((AZ10-AZ9)*20,0)</f>
        <v>0</v>
      </c>
      <c r="BB10" s="620">
        <v>6495.694</v>
      </c>
      <c r="BC10" s="182">
        <f>ROUND((BB10-BB9)*30,0)</f>
        <v>1</v>
      </c>
      <c r="BD10" s="620">
        <v>1128.133</v>
      </c>
      <c r="BE10" s="182">
        <f aca="true" t="shared" si="24" ref="BE10:BE32">ROUND((BD10-BD9)*120,0)</f>
        <v>15</v>
      </c>
      <c r="BF10" s="534">
        <f t="shared" si="3"/>
        <v>488</v>
      </c>
      <c r="BG10" s="2"/>
      <c r="BH10" s="160"/>
    </row>
    <row r="11" spans="2:60" ht="19.5" customHeight="1">
      <c r="B11" s="70">
        <v>5</v>
      </c>
      <c r="C11" s="567">
        <v>478</v>
      </c>
      <c r="D11" s="567">
        <v>150</v>
      </c>
      <c r="E11" s="567">
        <v>73</v>
      </c>
      <c r="F11" s="213">
        <f t="shared" si="0"/>
        <v>701</v>
      </c>
      <c r="G11" s="524"/>
      <c r="H11" s="42">
        <v>5</v>
      </c>
      <c r="I11" s="575">
        <v>18133.264</v>
      </c>
      <c r="J11" s="554">
        <f t="shared" si="4"/>
        <v>35</v>
      </c>
      <c r="K11" s="575">
        <v>5170.651</v>
      </c>
      <c r="L11" s="554">
        <f t="shared" si="5"/>
        <v>42</v>
      </c>
      <c r="M11" s="213">
        <f t="shared" si="6"/>
        <v>77</v>
      </c>
      <c r="N11" s="129"/>
      <c r="O11" s="42">
        <v>5</v>
      </c>
      <c r="P11" s="620">
        <v>67446.088</v>
      </c>
      <c r="Q11" s="182">
        <f t="shared" si="7"/>
        <v>29</v>
      </c>
      <c r="R11" s="620">
        <v>27485.404</v>
      </c>
      <c r="S11" s="182">
        <f t="shared" si="8"/>
        <v>77</v>
      </c>
      <c r="T11" s="620">
        <v>60626.75</v>
      </c>
      <c r="U11" s="182">
        <f t="shared" si="9"/>
        <v>202</v>
      </c>
      <c r="V11" s="620">
        <v>19999.543</v>
      </c>
      <c r="W11" s="182">
        <f t="shared" si="10"/>
        <v>25</v>
      </c>
      <c r="X11" s="620">
        <v>4792.615</v>
      </c>
      <c r="Y11" s="182">
        <f t="shared" si="11"/>
        <v>55</v>
      </c>
      <c r="Z11" s="620">
        <v>29115.244</v>
      </c>
      <c r="AA11" s="182">
        <f t="shared" si="12"/>
        <v>173</v>
      </c>
      <c r="AB11" s="620">
        <v>35651.644</v>
      </c>
      <c r="AC11" s="182">
        <f t="shared" si="13"/>
        <v>109</v>
      </c>
      <c r="AD11" s="620">
        <v>2952.14</v>
      </c>
      <c r="AE11" s="182">
        <f t="shared" si="14"/>
        <v>16</v>
      </c>
      <c r="AF11" s="620">
        <v>24.36</v>
      </c>
      <c r="AG11" s="182">
        <f t="shared" si="15"/>
        <v>0</v>
      </c>
      <c r="AH11" s="620">
        <v>449.58</v>
      </c>
      <c r="AI11" s="182">
        <f t="shared" si="16"/>
        <v>0</v>
      </c>
      <c r="AJ11" s="620">
        <v>1549.52</v>
      </c>
      <c r="AK11" s="182">
        <f t="shared" si="1"/>
        <v>0</v>
      </c>
      <c r="AL11" s="620">
        <v>146.18</v>
      </c>
      <c r="AM11" s="182">
        <f t="shared" si="17"/>
        <v>0</v>
      </c>
      <c r="AN11" s="620">
        <v>26.371</v>
      </c>
      <c r="AO11" s="182">
        <f t="shared" si="18"/>
        <v>0</v>
      </c>
      <c r="AP11" s="648">
        <v>89.224</v>
      </c>
      <c r="AQ11" s="182">
        <f t="shared" si="2"/>
        <v>0</v>
      </c>
      <c r="AR11" s="620">
        <v>547.785</v>
      </c>
      <c r="AS11" s="182">
        <f t="shared" si="19"/>
        <v>0</v>
      </c>
      <c r="AT11" s="620">
        <v>30466.083333333332</v>
      </c>
      <c r="AU11" s="182">
        <f t="shared" si="20"/>
        <v>10</v>
      </c>
      <c r="AV11" s="620">
        <v>42255.95</v>
      </c>
      <c r="AW11" s="182">
        <f t="shared" si="21"/>
        <v>21</v>
      </c>
      <c r="AX11" s="620">
        <v>10789.719000000001</v>
      </c>
      <c r="AY11" s="182">
        <f t="shared" si="22"/>
        <v>2</v>
      </c>
      <c r="AZ11" s="620">
        <v>13360</v>
      </c>
      <c r="BA11" s="182">
        <f t="shared" si="23"/>
        <v>0</v>
      </c>
      <c r="BB11" s="620">
        <v>6495.727</v>
      </c>
      <c r="BC11" s="182">
        <f>ROUND((BB11-BB10)*30,0)</f>
        <v>1</v>
      </c>
      <c r="BD11" s="620">
        <v>1128.258</v>
      </c>
      <c r="BE11" s="182">
        <f t="shared" si="24"/>
        <v>15</v>
      </c>
      <c r="BF11" s="534">
        <f t="shared" si="3"/>
        <v>735</v>
      </c>
      <c r="BG11" s="2"/>
      <c r="BH11" s="160"/>
    </row>
    <row r="12" spans="2:60" ht="19.5" customHeight="1">
      <c r="B12" s="70">
        <v>6</v>
      </c>
      <c r="C12" s="567">
        <v>487</v>
      </c>
      <c r="D12" s="567">
        <v>153</v>
      </c>
      <c r="E12" s="567">
        <v>80</v>
      </c>
      <c r="F12" s="213">
        <f t="shared" si="0"/>
        <v>720</v>
      </c>
      <c r="G12" s="524"/>
      <c r="H12" s="42">
        <v>6</v>
      </c>
      <c r="I12" s="575">
        <v>18133.557</v>
      </c>
      <c r="J12" s="554">
        <f t="shared" si="4"/>
        <v>35</v>
      </c>
      <c r="K12" s="575">
        <v>5171</v>
      </c>
      <c r="L12" s="554">
        <f t="shared" si="5"/>
        <v>42</v>
      </c>
      <c r="M12" s="213">
        <f t="shared" si="6"/>
        <v>77</v>
      </c>
      <c r="N12" s="129"/>
      <c r="O12" s="42">
        <v>6</v>
      </c>
      <c r="P12" s="620">
        <v>67446.65</v>
      </c>
      <c r="Q12" s="182">
        <f t="shared" si="7"/>
        <v>45</v>
      </c>
      <c r="R12" s="620">
        <v>27486.098</v>
      </c>
      <c r="S12" s="182">
        <f t="shared" si="8"/>
        <v>83</v>
      </c>
      <c r="T12" s="620">
        <v>60627.233</v>
      </c>
      <c r="U12" s="182">
        <f t="shared" si="9"/>
        <v>58</v>
      </c>
      <c r="V12" s="620">
        <v>19999.75</v>
      </c>
      <c r="W12" s="182">
        <f t="shared" si="10"/>
        <v>25</v>
      </c>
      <c r="X12" s="620">
        <v>4793.02</v>
      </c>
      <c r="Y12" s="182">
        <f t="shared" si="11"/>
        <v>81</v>
      </c>
      <c r="Z12" s="620">
        <v>29116.325</v>
      </c>
      <c r="AA12" s="182">
        <f t="shared" si="12"/>
        <v>173</v>
      </c>
      <c r="AB12" s="620">
        <v>35652.325</v>
      </c>
      <c r="AC12" s="182">
        <f t="shared" si="13"/>
        <v>109</v>
      </c>
      <c r="AD12" s="620">
        <v>2952.253</v>
      </c>
      <c r="AE12" s="182">
        <f t="shared" si="14"/>
        <v>34</v>
      </c>
      <c r="AF12" s="620">
        <v>24.36</v>
      </c>
      <c r="AG12" s="182">
        <f t="shared" si="15"/>
        <v>0</v>
      </c>
      <c r="AH12" s="620">
        <v>449.58</v>
      </c>
      <c r="AI12" s="182">
        <f t="shared" si="16"/>
        <v>0</v>
      </c>
      <c r="AJ12" s="620">
        <v>1549.55</v>
      </c>
      <c r="AK12" s="182">
        <f t="shared" si="1"/>
        <v>9</v>
      </c>
      <c r="AL12" s="620">
        <v>146.18</v>
      </c>
      <c r="AM12" s="182">
        <f t="shared" si="17"/>
        <v>0</v>
      </c>
      <c r="AN12" s="620">
        <v>26.371</v>
      </c>
      <c r="AO12" s="182">
        <f t="shared" si="18"/>
        <v>0</v>
      </c>
      <c r="AP12" s="648">
        <v>89.224</v>
      </c>
      <c r="AQ12" s="182">
        <f t="shared" si="2"/>
        <v>0</v>
      </c>
      <c r="AR12" s="620">
        <v>547.785</v>
      </c>
      <c r="AS12" s="182">
        <f t="shared" si="19"/>
        <v>0</v>
      </c>
      <c r="AT12" s="620">
        <v>30466.166666666664</v>
      </c>
      <c r="AU12" s="182">
        <f t="shared" si="20"/>
        <v>10</v>
      </c>
      <c r="AV12" s="620">
        <v>42255.975</v>
      </c>
      <c r="AW12" s="182">
        <f t="shared" si="21"/>
        <v>1</v>
      </c>
      <c r="AX12" s="620">
        <v>10791.338000000002</v>
      </c>
      <c r="AY12" s="182">
        <f t="shared" si="22"/>
        <v>2</v>
      </c>
      <c r="AZ12" s="620">
        <v>13360</v>
      </c>
      <c r="BA12" s="182">
        <f t="shared" si="23"/>
        <v>0</v>
      </c>
      <c r="BB12" s="620">
        <v>6495.76</v>
      </c>
      <c r="BC12" s="182">
        <f aca="true" t="shared" si="25" ref="BC12:BC32">ROUND((BB12-BB11)*30,0)</f>
        <v>1</v>
      </c>
      <c r="BD12" s="620">
        <v>1128.383</v>
      </c>
      <c r="BE12" s="182">
        <f t="shared" si="24"/>
        <v>15</v>
      </c>
      <c r="BF12" s="534">
        <f t="shared" si="3"/>
        <v>646</v>
      </c>
      <c r="BG12" s="2"/>
      <c r="BH12" s="160"/>
    </row>
    <row r="13" spans="2:60" ht="19.5" customHeight="1">
      <c r="B13" s="70">
        <v>7</v>
      </c>
      <c r="C13" s="567">
        <v>518</v>
      </c>
      <c r="D13" s="567">
        <v>167</v>
      </c>
      <c r="E13" s="567">
        <v>112</v>
      </c>
      <c r="F13" s="213">
        <f t="shared" si="0"/>
        <v>797</v>
      </c>
      <c r="G13" s="524"/>
      <c r="H13" s="42">
        <v>7</v>
      </c>
      <c r="I13" s="575">
        <v>18133.85</v>
      </c>
      <c r="J13" s="554">
        <f t="shared" si="4"/>
        <v>35</v>
      </c>
      <c r="K13" s="575">
        <v>5171.352</v>
      </c>
      <c r="L13" s="554">
        <f t="shared" si="5"/>
        <v>42</v>
      </c>
      <c r="M13" s="213">
        <f t="shared" si="6"/>
        <v>77</v>
      </c>
      <c r="N13" s="129"/>
      <c r="O13" s="42">
        <v>7</v>
      </c>
      <c r="P13" s="620">
        <v>67447.813</v>
      </c>
      <c r="Q13" s="182">
        <f t="shared" si="7"/>
        <v>93</v>
      </c>
      <c r="R13" s="620">
        <v>27487.154</v>
      </c>
      <c r="S13" s="182">
        <f t="shared" si="8"/>
        <v>127</v>
      </c>
      <c r="T13" s="620">
        <v>60628.017</v>
      </c>
      <c r="U13" s="182">
        <f t="shared" si="9"/>
        <v>94</v>
      </c>
      <c r="V13" s="620">
        <v>20000.074</v>
      </c>
      <c r="W13" s="182">
        <f t="shared" si="10"/>
        <v>39</v>
      </c>
      <c r="X13" s="620">
        <v>4793.525</v>
      </c>
      <c r="Y13" s="182">
        <f t="shared" si="11"/>
        <v>101</v>
      </c>
      <c r="Z13" s="620">
        <v>29116.906</v>
      </c>
      <c r="AA13" s="182">
        <f t="shared" si="12"/>
        <v>93</v>
      </c>
      <c r="AB13" s="620">
        <v>35652.906</v>
      </c>
      <c r="AC13" s="182">
        <f t="shared" si="13"/>
        <v>93</v>
      </c>
      <c r="AD13" s="620">
        <v>2952.327</v>
      </c>
      <c r="AE13" s="182">
        <f t="shared" si="14"/>
        <v>22</v>
      </c>
      <c r="AF13" s="620">
        <v>24.36</v>
      </c>
      <c r="AG13" s="182">
        <f t="shared" si="15"/>
        <v>0</v>
      </c>
      <c r="AH13" s="620">
        <v>449.58</v>
      </c>
      <c r="AI13" s="182">
        <f t="shared" si="16"/>
        <v>0</v>
      </c>
      <c r="AJ13" s="620">
        <v>1549.6</v>
      </c>
      <c r="AK13" s="182">
        <f t="shared" si="1"/>
        <v>15</v>
      </c>
      <c r="AL13" s="620">
        <v>146.18</v>
      </c>
      <c r="AM13" s="182">
        <f t="shared" si="17"/>
        <v>0</v>
      </c>
      <c r="AN13" s="620">
        <v>26.371</v>
      </c>
      <c r="AO13" s="182">
        <f t="shared" si="18"/>
        <v>0</v>
      </c>
      <c r="AP13" s="648">
        <v>89.224</v>
      </c>
      <c r="AQ13" s="182">
        <f t="shared" si="2"/>
        <v>0</v>
      </c>
      <c r="AR13" s="620">
        <v>547.785</v>
      </c>
      <c r="AS13" s="182">
        <f t="shared" si="19"/>
        <v>0</v>
      </c>
      <c r="AT13" s="620">
        <v>30466.249999999996</v>
      </c>
      <c r="AU13" s="182">
        <f t="shared" si="20"/>
        <v>10</v>
      </c>
      <c r="AV13" s="620">
        <v>42256</v>
      </c>
      <c r="AW13" s="182">
        <f t="shared" si="21"/>
        <v>1</v>
      </c>
      <c r="AX13" s="620">
        <v>10792.948000000002</v>
      </c>
      <c r="AY13" s="182">
        <f t="shared" si="22"/>
        <v>2</v>
      </c>
      <c r="AZ13" s="620">
        <v>13360</v>
      </c>
      <c r="BA13" s="182">
        <f t="shared" si="23"/>
        <v>0</v>
      </c>
      <c r="BB13" s="620">
        <v>6495.794</v>
      </c>
      <c r="BC13" s="182">
        <f t="shared" si="25"/>
        <v>1</v>
      </c>
      <c r="BD13" s="620">
        <v>1128.533</v>
      </c>
      <c r="BE13" s="182">
        <f t="shared" si="24"/>
        <v>18</v>
      </c>
      <c r="BF13" s="534">
        <f t="shared" si="3"/>
        <v>709</v>
      </c>
      <c r="BG13" s="2"/>
      <c r="BH13" s="160"/>
    </row>
    <row r="14" spans="2:60" ht="19.5" customHeight="1">
      <c r="B14" s="70">
        <v>8</v>
      </c>
      <c r="C14" s="567">
        <v>543</v>
      </c>
      <c r="D14" s="567">
        <v>175</v>
      </c>
      <c r="E14" s="567">
        <v>111</v>
      </c>
      <c r="F14" s="213">
        <f t="shared" si="0"/>
        <v>829</v>
      </c>
      <c r="G14" s="524"/>
      <c r="H14" s="42">
        <v>8</v>
      </c>
      <c r="I14" s="575">
        <v>18134.141</v>
      </c>
      <c r="J14" s="554">
        <f t="shared" si="4"/>
        <v>35</v>
      </c>
      <c r="K14" s="575">
        <v>5171.75</v>
      </c>
      <c r="L14" s="554">
        <f t="shared" si="5"/>
        <v>48</v>
      </c>
      <c r="M14" s="213">
        <f t="shared" si="6"/>
        <v>83</v>
      </c>
      <c r="N14" s="129"/>
      <c r="O14" s="42">
        <v>8</v>
      </c>
      <c r="P14" s="620">
        <v>67449.875</v>
      </c>
      <c r="Q14" s="182">
        <f t="shared" si="7"/>
        <v>165</v>
      </c>
      <c r="R14" s="620">
        <v>27488.455</v>
      </c>
      <c r="S14" s="182">
        <f t="shared" si="8"/>
        <v>156</v>
      </c>
      <c r="T14" s="620">
        <v>60628.7</v>
      </c>
      <c r="U14" s="182">
        <f t="shared" si="9"/>
        <v>82</v>
      </c>
      <c r="V14" s="620">
        <v>20000.477</v>
      </c>
      <c r="W14" s="182">
        <f t="shared" si="10"/>
        <v>48</v>
      </c>
      <c r="X14" s="620">
        <v>4794.065</v>
      </c>
      <c r="Y14" s="182">
        <f t="shared" si="11"/>
        <v>108</v>
      </c>
      <c r="Z14" s="620">
        <v>29117.988</v>
      </c>
      <c r="AA14" s="182">
        <f t="shared" si="12"/>
        <v>173</v>
      </c>
      <c r="AB14" s="620">
        <v>35653.588</v>
      </c>
      <c r="AC14" s="182">
        <f t="shared" si="13"/>
        <v>109</v>
      </c>
      <c r="AD14" s="620">
        <v>2952.39</v>
      </c>
      <c r="AE14" s="182">
        <f t="shared" si="14"/>
        <v>19</v>
      </c>
      <c r="AF14" s="620">
        <v>24.36</v>
      </c>
      <c r="AG14" s="182">
        <f t="shared" si="15"/>
        <v>0</v>
      </c>
      <c r="AH14" s="620">
        <v>449.58</v>
      </c>
      <c r="AI14" s="182">
        <f t="shared" si="16"/>
        <v>0</v>
      </c>
      <c r="AJ14" s="620">
        <v>1549.6</v>
      </c>
      <c r="AK14" s="182">
        <f t="shared" si="1"/>
        <v>0</v>
      </c>
      <c r="AL14" s="620">
        <v>146.18</v>
      </c>
      <c r="AM14" s="182">
        <f t="shared" si="17"/>
        <v>0</v>
      </c>
      <c r="AN14" s="620">
        <v>26.371</v>
      </c>
      <c r="AO14" s="182">
        <f t="shared" si="18"/>
        <v>0</v>
      </c>
      <c r="AP14" s="648">
        <v>89.224</v>
      </c>
      <c r="AQ14" s="182">
        <f t="shared" si="2"/>
        <v>0</v>
      </c>
      <c r="AR14" s="620">
        <v>547.785</v>
      </c>
      <c r="AS14" s="182">
        <f t="shared" si="19"/>
        <v>0</v>
      </c>
      <c r="AT14" s="620">
        <v>30466.43333333333</v>
      </c>
      <c r="AU14" s="182">
        <f t="shared" si="20"/>
        <v>22</v>
      </c>
      <c r="AV14" s="620">
        <v>42256.225</v>
      </c>
      <c r="AW14" s="182">
        <f t="shared" si="21"/>
        <v>9</v>
      </c>
      <c r="AX14" s="620">
        <v>10794.550000000003</v>
      </c>
      <c r="AY14" s="182">
        <f t="shared" si="22"/>
        <v>2</v>
      </c>
      <c r="AZ14" s="620">
        <v>13360</v>
      </c>
      <c r="BA14" s="182">
        <f t="shared" si="23"/>
        <v>0</v>
      </c>
      <c r="BB14" s="620">
        <v>6495.827</v>
      </c>
      <c r="BC14" s="182">
        <f t="shared" si="25"/>
        <v>1</v>
      </c>
      <c r="BD14" s="620">
        <v>1128.7</v>
      </c>
      <c r="BE14" s="182">
        <f t="shared" si="24"/>
        <v>20</v>
      </c>
      <c r="BF14" s="534">
        <f t="shared" si="3"/>
        <v>914</v>
      </c>
      <c r="BG14" s="2"/>
      <c r="BH14" s="160"/>
    </row>
    <row r="15" spans="2:60" ht="19.5" customHeight="1">
      <c r="B15" s="70">
        <v>9</v>
      </c>
      <c r="C15" s="567">
        <v>532</v>
      </c>
      <c r="D15" s="567">
        <v>153</v>
      </c>
      <c r="E15" s="567">
        <v>99</v>
      </c>
      <c r="F15" s="213">
        <f t="shared" si="0"/>
        <v>784</v>
      </c>
      <c r="G15" s="524"/>
      <c r="H15" s="42">
        <v>9</v>
      </c>
      <c r="I15" s="575">
        <v>18134.434</v>
      </c>
      <c r="J15" s="554">
        <f t="shared" si="4"/>
        <v>35</v>
      </c>
      <c r="K15" s="575">
        <v>5172.366</v>
      </c>
      <c r="L15" s="554">
        <f t="shared" si="5"/>
        <v>74</v>
      </c>
      <c r="M15" s="213">
        <f t="shared" si="6"/>
        <v>109</v>
      </c>
      <c r="N15" s="129"/>
      <c r="O15" s="42">
        <v>9</v>
      </c>
      <c r="P15" s="620">
        <v>67450.438</v>
      </c>
      <c r="Q15" s="182">
        <f t="shared" si="7"/>
        <v>45</v>
      </c>
      <c r="R15" s="620">
        <v>27489.6</v>
      </c>
      <c r="S15" s="182">
        <f t="shared" si="8"/>
        <v>137</v>
      </c>
      <c r="T15" s="620">
        <v>60629.083</v>
      </c>
      <c r="U15" s="182">
        <f t="shared" si="9"/>
        <v>46</v>
      </c>
      <c r="V15" s="620">
        <v>20000.809</v>
      </c>
      <c r="W15" s="182">
        <f t="shared" si="10"/>
        <v>40</v>
      </c>
      <c r="X15" s="620">
        <v>4794.58</v>
      </c>
      <c r="Y15" s="182">
        <f t="shared" si="11"/>
        <v>103</v>
      </c>
      <c r="Z15" s="620">
        <v>29119.269</v>
      </c>
      <c r="AA15" s="182">
        <f t="shared" si="12"/>
        <v>205</v>
      </c>
      <c r="AB15" s="620">
        <v>35653.969</v>
      </c>
      <c r="AC15" s="182">
        <f t="shared" si="13"/>
        <v>61</v>
      </c>
      <c r="AD15" s="620">
        <v>2952.813</v>
      </c>
      <c r="AE15" s="182">
        <f t="shared" si="14"/>
        <v>127</v>
      </c>
      <c r="AF15" s="620">
        <v>24.36</v>
      </c>
      <c r="AG15" s="182">
        <f t="shared" si="15"/>
        <v>0</v>
      </c>
      <c r="AH15" s="620">
        <v>449.58</v>
      </c>
      <c r="AI15" s="182">
        <f t="shared" si="16"/>
        <v>0</v>
      </c>
      <c r="AJ15" s="620">
        <v>1549.61</v>
      </c>
      <c r="AK15" s="182">
        <f t="shared" si="1"/>
        <v>3</v>
      </c>
      <c r="AL15" s="620">
        <v>146.18</v>
      </c>
      <c r="AM15" s="182">
        <f t="shared" si="17"/>
        <v>0</v>
      </c>
      <c r="AN15" s="620">
        <v>26.371</v>
      </c>
      <c r="AO15" s="182">
        <f t="shared" si="18"/>
        <v>0</v>
      </c>
      <c r="AP15" s="648">
        <v>89.224</v>
      </c>
      <c r="AQ15" s="182">
        <f t="shared" si="2"/>
        <v>0</v>
      </c>
      <c r="AR15" s="620">
        <v>547.785</v>
      </c>
      <c r="AS15" s="182">
        <f t="shared" si="19"/>
        <v>0</v>
      </c>
      <c r="AT15" s="620">
        <v>30466.716666666664</v>
      </c>
      <c r="AU15" s="182">
        <f t="shared" si="20"/>
        <v>34</v>
      </c>
      <c r="AV15" s="620">
        <v>42256.65</v>
      </c>
      <c r="AW15" s="182">
        <f t="shared" si="21"/>
        <v>17</v>
      </c>
      <c r="AX15" s="620">
        <v>10796.231000000003</v>
      </c>
      <c r="AY15" s="182">
        <f t="shared" si="22"/>
        <v>2</v>
      </c>
      <c r="AZ15" s="620">
        <v>13360</v>
      </c>
      <c r="BA15" s="182">
        <f t="shared" si="23"/>
        <v>0</v>
      </c>
      <c r="BB15" s="620">
        <v>6495.86</v>
      </c>
      <c r="BC15" s="182">
        <f t="shared" si="25"/>
        <v>1</v>
      </c>
      <c r="BD15" s="620">
        <v>1128.867</v>
      </c>
      <c r="BE15" s="182">
        <f t="shared" si="24"/>
        <v>20</v>
      </c>
      <c r="BF15" s="534">
        <f t="shared" si="3"/>
        <v>841</v>
      </c>
      <c r="BG15" s="2"/>
      <c r="BH15" s="160"/>
    </row>
    <row r="16" spans="2:60" ht="19.5" customHeight="1">
      <c r="B16" s="70">
        <v>10</v>
      </c>
      <c r="C16" s="567">
        <v>553</v>
      </c>
      <c r="D16" s="567">
        <v>152</v>
      </c>
      <c r="E16" s="567">
        <v>89</v>
      </c>
      <c r="F16" s="213">
        <f t="shared" si="0"/>
        <v>794</v>
      </c>
      <c r="G16" s="524"/>
      <c r="H16" s="42">
        <v>10</v>
      </c>
      <c r="I16" s="575">
        <v>18134.734</v>
      </c>
      <c r="J16" s="554">
        <f t="shared" si="4"/>
        <v>36</v>
      </c>
      <c r="K16" s="575">
        <v>5173.063</v>
      </c>
      <c r="L16" s="554">
        <f t="shared" si="5"/>
        <v>84</v>
      </c>
      <c r="M16" s="213">
        <f t="shared" si="6"/>
        <v>120</v>
      </c>
      <c r="N16" s="129"/>
      <c r="O16" s="42">
        <v>10</v>
      </c>
      <c r="P16" s="620">
        <v>67451</v>
      </c>
      <c r="Q16" s="182">
        <f t="shared" si="7"/>
        <v>45</v>
      </c>
      <c r="R16" s="620">
        <v>27490.801</v>
      </c>
      <c r="S16" s="182">
        <f t="shared" si="8"/>
        <v>144</v>
      </c>
      <c r="T16" s="620">
        <v>60629.667</v>
      </c>
      <c r="U16" s="182">
        <f t="shared" si="9"/>
        <v>70</v>
      </c>
      <c r="V16" s="620">
        <v>20001.141</v>
      </c>
      <c r="W16" s="182">
        <f t="shared" si="10"/>
        <v>40</v>
      </c>
      <c r="X16" s="620">
        <v>4795.085</v>
      </c>
      <c r="Y16" s="182">
        <f t="shared" si="11"/>
        <v>101</v>
      </c>
      <c r="Z16" s="620">
        <v>29119.95</v>
      </c>
      <c r="AA16" s="182">
        <f t="shared" si="12"/>
        <v>109</v>
      </c>
      <c r="AB16" s="620">
        <v>35654.65</v>
      </c>
      <c r="AC16" s="182">
        <f t="shared" si="13"/>
        <v>109</v>
      </c>
      <c r="AD16" s="620">
        <v>2952.867</v>
      </c>
      <c r="AE16" s="182">
        <f t="shared" si="14"/>
        <v>16</v>
      </c>
      <c r="AF16" s="620">
        <v>24.36</v>
      </c>
      <c r="AG16" s="182">
        <f t="shared" si="15"/>
        <v>0</v>
      </c>
      <c r="AH16" s="620">
        <v>449.58</v>
      </c>
      <c r="AI16" s="182">
        <f t="shared" si="16"/>
        <v>0</v>
      </c>
      <c r="AJ16" s="620">
        <v>1549.61</v>
      </c>
      <c r="AK16" s="182">
        <f t="shared" si="1"/>
        <v>0</v>
      </c>
      <c r="AL16" s="620">
        <v>146.18</v>
      </c>
      <c r="AM16" s="182">
        <f t="shared" si="17"/>
        <v>0</v>
      </c>
      <c r="AN16" s="620">
        <v>26.371</v>
      </c>
      <c r="AO16" s="182">
        <f t="shared" si="18"/>
        <v>0</v>
      </c>
      <c r="AP16" s="648">
        <v>89.224</v>
      </c>
      <c r="AQ16" s="182">
        <f t="shared" si="2"/>
        <v>0</v>
      </c>
      <c r="AR16" s="620">
        <v>547.785</v>
      </c>
      <c r="AS16" s="182">
        <f t="shared" si="19"/>
        <v>0</v>
      </c>
      <c r="AT16" s="620">
        <v>30467.199999999997</v>
      </c>
      <c r="AU16" s="182">
        <f t="shared" si="20"/>
        <v>58</v>
      </c>
      <c r="AV16" s="620">
        <v>42257.275</v>
      </c>
      <c r="AW16" s="182">
        <f t="shared" si="21"/>
        <v>25</v>
      </c>
      <c r="AX16" s="620">
        <v>10797.892000000003</v>
      </c>
      <c r="AY16" s="182">
        <f t="shared" si="22"/>
        <v>2</v>
      </c>
      <c r="AZ16" s="620">
        <v>13360</v>
      </c>
      <c r="BA16" s="182">
        <f t="shared" si="23"/>
        <v>0</v>
      </c>
      <c r="BB16" s="620">
        <v>6495.894</v>
      </c>
      <c r="BC16" s="182">
        <f t="shared" si="25"/>
        <v>1</v>
      </c>
      <c r="BD16" s="620">
        <v>1129.025</v>
      </c>
      <c r="BE16" s="182">
        <f t="shared" si="24"/>
        <v>19</v>
      </c>
      <c r="BF16" s="534">
        <f t="shared" si="3"/>
        <v>739</v>
      </c>
      <c r="BG16" s="2"/>
      <c r="BH16" s="160"/>
    </row>
    <row r="17" spans="2:60" ht="19.5" customHeight="1">
      <c r="B17" s="70">
        <v>11</v>
      </c>
      <c r="C17" s="567">
        <v>567</v>
      </c>
      <c r="D17" s="567">
        <v>150</v>
      </c>
      <c r="E17" s="567">
        <v>94</v>
      </c>
      <c r="F17" s="213">
        <f t="shared" si="0"/>
        <v>811</v>
      </c>
      <c r="G17" s="524"/>
      <c r="H17" s="42">
        <v>11</v>
      </c>
      <c r="I17" s="575">
        <v>18135.053</v>
      </c>
      <c r="J17" s="554">
        <f t="shared" si="4"/>
        <v>38</v>
      </c>
      <c r="K17" s="575">
        <v>5173.745</v>
      </c>
      <c r="L17" s="554">
        <f t="shared" si="5"/>
        <v>82</v>
      </c>
      <c r="M17" s="213">
        <f t="shared" si="6"/>
        <v>120</v>
      </c>
      <c r="N17" s="129"/>
      <c r="O17" s="42">
        <v>11</v>
      </c>
      <c r="P17" s="620">
        <v>67451.563</v>
      </c>
      <c r="Q17" s="182">
        <f t="shared" si="7"/>
        <v>45</v>
      </c>
      <c r="R17" s="620">
        <v>27492.063</v>
      </c>
      <c r="S17" s="182">
        <f t="shared" si="8"/>
        <v>151</v>
      </c>
      <c r="T17" s="620">
        <v>60630.35</v>
      </c>
      <c r="U17" s="182">
        <f t="shared" si="9"/>
        <v>82</v>
      </c>
      <c r="V17" s="620">
        <v>20001.443</v>
      </c>
      <c r="W17" s="182">
        <f t="shared" si="10"/>
        <v>36</v>
      </c>
      <c r="X17" s="620">
        <v>4795.585</v>
      </c>
      <c r="Y17" s="182">
        <f t="shared" si="11"/>
        <v>100</v>
      </c>
      <c r="Z17" s="620">
        <v>29120.731</v>
      </c>
      <c r="AA17" s="182">
        <f t="shared" si="12"/>
        <v>125</v>
      </c>
      <c r="AB17" s="620">
        <v>35654.831</v>
      </c>
      <c r="AC17" s="182">
        <f t="shared" si="13"/>
        <v>29</v>
      </c>
      <c r="AD17" s="620">
        <v>2952.91</v>
      </c>
      <c r="AE17" s="182">
        <f t="shared" si="14"/>
        <v>13</v>
      </c>
      <c r="AF17" s="620">
        <v>24.36</v>
      </c>
      <c r="AG17" s="182">
        <f t="shared" si="15"/>
        <v>0</v>
      </c>
      <c r="AH17" s="620">
        <v>449.58</v>
      </c>
      <c r="AI17" s="182">
        <f t="shared" si="16"/>
        <v>0</v>
      </c>
      <c r="AJ17" s="620">
        <v>1549.62</v>
      </c>
      <c r="AK17" s="182">
        <f t="shared" si="1"/>
        <v>3</v>
      </c>
      <c r="AL17" s="620">
        <v>146.18</v>
      </c>
      <c r="AM17" s="182">
        <f t="shared" si="17"/>
        <v>0</v>
      </c>
      <c r="AN17" s="620">
        <v>26.371</v>
      </c>
      <c r="AO17" s="182">
        <f t="shared" si="18"/>
        <v>0</v>
      </c>
      <c r="AP17" s="648">
        <v>89.224</v>
      </c>
      <c r="AQ17" s="182">
        <f t="shared" si="2"/>
        <v>0</v>
      </c>
      <c r="AR17" s="620">
        <v>547.785</v>
      </c>
      <c r="AS17" s="182">
        <f t="shared" si="19"/>
        <v>0</v>
      </c>
      <c r="AT17" s="620">
        <v>30467.48333333333</v>
      </c>
      <c r="AU17" s="182">
        <f t="shared" si="20"/>
        <v>34</v>
      </c>
      <c r="AV17" s="620">
        <v>42257.8</v>
      </c>
      <c r="AW17" s="182">
        <f t="shared" si="21"/>
        <v>21</v>
      </c>
      <c r="AX17" s="620">
        <v>10799.528000000004</v>
      </c>
      <c r="AY17" s="182">
        <f t="shared" si="22"/>
        <v>2</v>
      </c>
      <c r="AZ17" s="620">
        <v>13360</v>
      </c>
      <c r="BA17" s="182">
        <f t="shared" si="23"/>
        <v>0</v>
      </c>
      <c r="BB17" s="620">
        <v>6495.994</v>
      </c>
      <c r="BC17" s="182">
        <f t="shared" si="25"/>
        <v>3</v>
      </c>
      <c r="BD17" s="620">
        <v>1129.167</v>
      </c>
      <c r="BE17" s="182">
        <f t="shared" si="24"/>
        <v>17</v>
      </c>
      <c r="BF17" s="534">
        <f t="shared" si="3"/>
        <v>661</v>
      </c>
      <c r="BG17" s="2"/>
      <c r="BH17" s="160"/>
    </row>
    <row r="18" spans="2:60" ht="19.5" customHeight="1">
      <c r="B18" s="70">
        <v>12</v>
      </c>
      <c r="C18" s="567">
        <v>571</v>
      </c>
      <c r="D18" s="567">
        <v>153</v>
      </c>
      <c r="E18" s="567">
        <v>90</v>
      </c>
      <c r="F18" s="213">
        <f t="shared" si="0"/>
        <v>814</v>
      </c>
      <c r="G18" s="524"/>
      <c r="H18" s="42">
        <v>12</v>
      </c>
      <c r="I18" s="576">
        <v>18135.373</v>
      </c>
      <c r="J18" s="554">
        <f t="shared" si="4"/>
        <v>38</v>
      </c>
      <c r="K18" s="575">
        <v>5174.41</v>
      </c>
      <c r="L18" s="554">
        <f t="shared" si="5"/>
        <v>80</v>
      </c>
      <c r="M18" s="213">
        <f t="shared" si="6"/>
        <v>118</v>
      </c>
      <c r="N18" s="129"/>
      <c r="O18" s="42">
        <v>12</v>
      </c>
      <c r="P18" s="620">
        <v>67451.925</v>
      </c>
      <c r="Q18" s="182">
        <f t="shared" si="7"/>
        <v>29</v>
      </c>
      <c r="R18" s="620">
        <v>27493.428</v>
      </c>
      <c r="S18" s="182">
        <f t="shared" si="8"/>
        <v>164</v>
      </c>
      <c r="T18" s="620">
        <v>60630.933</v>
      </c>
      <c r="U18" s="182">
        <f t="shared" si="9"/>
        <v>70</v>
      </c>
      <c r="V18" s="620">
        <v>20001.789</v>
      </c>
      <c r="W18" s="182">
        <f t="shared" si="10"/>
        <v>42</v>
      </c>
      <c r="X18" s="620">
        <v>4796.06</v>
      </c>
      <c r="Y18" s="182">
        <f t="shared" si="11"/>
        <v>95</v>
      </c>
      <c r="Z18" s="620">
        <v>29121.113</v>
      </c>
      <c r="AA18" s="182">
        <f t="shared" si="12"/>
        <v>61</v>
      </c>
      <c r="AB18" s="620">
        <v>35655.613</v>
      </c>
      <c r="AC18" s="182">
        <f t="shared" si="13"/>
        <v>125</v>
      </c>
      <c r="AD18" s="620">
        <v>2952.983</v>
      </c>
      <c r="AE18" s="182">
        <f t="shared" si="14"/>
        <v>22</v>
      </c>
      <c r="AF18" s="620">
        <v>24.36</v>
      </c>
      <c r="AG18" s="182">
        <f t="shared" si="15"/>
        <v>0</v>
      </c>
      <c r="AH18" s="620">
        <v>449.58</v>
      </c>
      <c r="AI18" s="182">
        <f t="shared" si="16"/>
        <v>0</v>
      </c>
      <c r="AJ18" s="620">
        <v>1549.66</v>
      </c>
      <c r="AK18" s="182">
        <f t="shared" si="1"/>
        <v>12</v>
      </c>
      <c r="AL18" s="620">
        <v>146.18</v>
      </c>
      <c r="AM18" s="182">
        <f t="shared" si="17"/>
        <v>0</v>
      </c>
      <c r="AN18" s="620">
        <v>26.371</v>
      </c>
      <c r="AO18" s="182">
        <f t="shared" si="18"/>
        <v>0</v>
      </c>
      <c r="AP18" s="648">
        <v>89.224</v>
      </c>
      <c r="AQ18" s="182">
        <f t="shared" si="2"/>
        <v>0</v>
      </c>
      <c r="AR18" s="620">
        <v>547.785</v>
      </c>
      <c r="AS18" s="182">
        <f t="shared" si="19"/>
        <v>0</v>
      </c>
      <c r="AT18" s="620">
        <v>30467.566666666662</v>
      </c>
      <c r="AU18" s="182">
        <f t="shared" si="20"/>
        <v>10</v>
      </c>
      <c r="AV18" s="620">
        <v>42258.625</v>
      </c>
      <c r="AW18" s="182">
        <f t="shared" si="21"/>
        <v>33</v>
      </c>
      <c r="AX18" s="620">
        <v>10801.199000000004</v>
      </c>
      <c r="AY18" s="182">
        <f t="shared" si="22"/>
        <v>2</v>
      </c>
      <c r="AZ18" s="620">
        <v>13360</v>
      </c>
      <c r="BA18" s="182">
        <f t="shared" si="23"/>
        <v>0</v>
      </c>
      <c r="BB18" s="620">
        <v>6496.06</v>
      </c>
      <c r="BC18" s="182">
        <f t="shared" si="25"/>
        <v>2</v>
      </c>
      <c r="BD18" s="620">
        <v>1129.317</v>
      </c>
      <c r="BE18" s="182">
        <f t="shared" si="24"/>
        <v>18</v>
      </c>
      <c r="BF18" s="534">
        <f t="shared" si="3"/>
        <v>685</v>
      </c>
      <c r="BG18" s="2"/>
      <c r="BH18" s="160"/>
    </row>
    <row r="19" spans="2:60" ht="19.5" customHeight="1">
      <c r="B19" s="70">
        <v>13</v>
      </c>
      <c r="C19" s="567">
        <v>579</v>
      </c>
      <c r="D19" s="567">
        <v>156</v>
      </c>
      <c r="E19" s="567">
        <v>98</v>
      </c>
      <c r="F19" s="213">
        <f t="shared" si="0"/>
        <v>833</v>
      </c>
      <c r="G19" s="524"/>
      <c r="H19" s="42">
        <v>13</v>
      </c>
      <c r="I19" s="576">
        <v>18135.689</v>
      </c>
      <c r="J19" s="554">
        <f t="shared" si="4"/>
        <v>38</v>
      </c>
      <c r="K19" s="575">
        <v>5175.232</v>
      </c>
      <c r="L19" s="554">
        <f t="shared" si="5"/>
        <v>99</v>
      </c>
      <c r="M19" s="213">
        <f t="shared" si="6"/>
        <v>137</v>
      </c>
      <c r="N19" s="129"/>
      <c r="O19" s="42">
        <v>13</v>
      </c>
      <c r="P19" s="620">
        <v>67452.388</v>
      </c>
      <c r="Q19" s="182">
        <f t="shared" si="7"/>
        <v>37</v>
      </c>
      <c r="R19" s="620">
        <v>27494.588</v>
      </c>
      <c r="S19" s="182">
        <f t="shared" si="8"/>
        <v>139</v>
      </c>
      <c r="T19" s="620">
        <v>60632.317</v>
      </c>
      <c r="U19" s="182">
        <f t="shared" si="9"/>
        <v>166</v>
      </c>
      <c r="V19" s="620">
        <v>20002.135</v>
      </c>
      <c r="W19" s="182">
        <f t="shared" si="10"/>
        <v>42</v>
      </c>
      <c r="X19" s="620">
        <v>4796.59</v>
      </c>
      <c r="Y19" s="182">
        <f t="shared" si="11"/>
        <v>106</v>
      </c>
      <c r="Z19" s="620">
        <v>29121.694</v>
      </c>
      <c r="AA19" s="182">
        <f t="shared" si="12"/>
        <v>93</v>
      </c>
      <c r="AB19" s="620">
        <v>35655.994</v>
      </c>
      <c r="AC19" s="182">
        <f t="shared" si="13"/>
        <v>61</v>
      </c>
      <c r="AD19" s="620">
        <v>2953.067</v>
      </c>
      <c r="AE19" s="182">
        <f t="shared" si="14"/>
        <v>25</v>
      </c>
      <c r="AF19" s="620">
        <v>24.36</v>
      </c>
      <c r="AG19" s="182">
        <f t="shared" si="15"/>
        <v>0</v>
      </c>
      <c r="AH19" s="620">
        <v>449.58</v>
      </c>
      <c r="AI19" s="182">
        <f t="shared" si="16"/>
        <v>0</v>
      </c>
      <c r="AJ19" s="620">
        <v>1549.67</v>
      </c>
      <c r="AK19" s="182">
        <f t="shared" si="1"/>
        <v>3</v>
      </c>
      <c r="AL19" s="620">
        <v>146.18</v>
      </c>
      <c r="AM19" s="182">
        <f t="shared" si="17"/>
        <v>0</v>
      </c>
      <c r="AN19" s="620">
        <v>26.371</v>
      </c>
      <c r="AO19" s="182">
        <f t="shared" si="18"/>
        <v>0</v>
      </c>
      <c r="AP19" s="648">
        <v>89.224</v>
      </c>
      <c r="AQ19" s="182">
        <f t="shared" si="2"/>
        <v>0</v>
      </c>
      <c r="AR19" s="620">
        <v>547.785</v>
      </c>
      <c r="AS19" s="182">
        <f t="shared" si="19"/>
        <v>0</v>
      </c>
      <c r="AT19" s="620">
        <v>30467.649999999994</v>
      </c>
      <c r="AU19" s="182">
        <f t="shared" si="20"/>
        <v>10</v>
      </c>
      <c r="AV19" s="620">
        <v>42258.75</v>
      </c>
      <c r="AW19" s="182">
        <f t="shared" si="21"/>
        <v>5</v>
      </c>
      <c r="AX19" s="620">
        <v>10802.859000000004</v>
      </c>
      <c r="AY19" s="182">
        <f t="shared" si="22"/>
        <v>2</v>
      </c>
      <c r="AZ19" s="620">
        <v>13360</v>
      </c>
      <c r="BA19" s="182">
        <f t="shared" si="23"/>
        <v>0</v>
      </c>
      <c r="BB19" s="620">
        <v>6496.094</v>
      </c>
      <c r="BC19" s="182">
        <f t="shared" si="25"/>
        <v>1</v>
      </c>
      <c r="BD19" s="620">
        <v>1129.467</v>
      </c>
      <c r="BE19" s="182">
        <f t="shared" si="24"/>
        <v>18</v>
      </c>
      <c r="BF19" s="534">
        <f t="shared" si="3"/>
        <v>708</v>
      </c>
      <c r="BG19" s="2"/>
      <c r="BH19" s="160"/>
    </row>
    <row r="20" spans="2:60" ht="19.5" customHeight="1">
      <c r="B20" s="70">
        <v>14</v>
      </c>
      <c r="C20" s="567">
        <v>614</v>
      </c>
      <c r="D20" s="567">
        <v>168</v>
      </c>
      <c r="E20" s="567">
        <v>107</v>
      </c>
      <c r="F20" s="213">
        <f t="shared" si="0"/>
        <v>889</v>
      </c>
      <c r="G20" s="524"/>
      <c r="H20" s="42">
        <v>14</v>
      </c>
      <c r="I20" s="576">
        <v>18136.006</v>
      </c>
      <c r="J20" s="554">
        <f t="shared" si="4"/>
        <v>38</v>
      </c>
      <c r="K20" s="575">
        <v>5176.026</v>
      </c>
      <c r="L20" s="554">
        <f t="shared" si="5"/>
        <v>95</v>
      </c>
      <c r="M20" s="213">
        <f t="shared" si="6"/>
        <v>133</v>
      </c>
      <c r="N20" s="129"/>
      <c r="O20" s="42">
        <v>14</v>
      </c>
      <c r="P20" s="620">
        <v>67453.05</v>
      </c>
      <c r="Q20" s="182">
        <f t="shared" si="7"/>
        <v>53</v>
      </c>
      <c r="R20" s="620">
        <v>27495.725</v>
      </c>
      <c r="S20" s="182">
        <f t="shared" si="8"/>
        <v>136</v>
      </c>
      <c r="T20" s="620">
        <v>60633</v>
      </c>
      <c r="U20" s="182">
        <f t="shared" si="9"/>
        <v>82</v>
      </c>
      <c r="V20" s="620">
        <v>20002.42</v>
      </c>
      <c r="W20" s="182">
        <f t="shared" si="10"/>
        <v>34</v>
      </c>
      <c r="X20" s="620">
        <v>4797.125</v>
      </c>
      <c r="Y20" s="182">
        <f t="shared" si="11"/>
        <v>107</v>
      </c>
      <c r="Z20" s="620">
        <v>29122.075</v>
      </c>
      <c r="AA20" s="182">
        <f t="shared" si="12"/>
        <v>61</v>
      </c>
      <c r="AB20" s="620">
        <v>35656.675</v>
      </c>
      <c r="AC20" s="182">
        <f t="shared" si="13"/>
        <v>109</v>
      </c>
      <c r="AD20" s="620">
        <v>2953.11</v>
      </c>
      <c r="AE20" s="182">
        <f t="shared" si="14"/>
        <v>13</v>
      </c>
      <c r="AF20" s="620">
        <v>24.36</v>
      </c>
      <c r="AG20" s="182">
        <f t="shared" si="15"/>
        <v>0</v>
      </c>
      <c r="AH20" s="620">
        <v>449.58</v>
      </c>
      <c r="AI20" s="182">
        <f t="shared" si="16"/>
        <v>0</v>
      </c>
      <c r="AJ20" s="620">
        <v>1549.71</v>
      </c>
      <c r="AK20" s="182">
        <f t="shared" si="1"/>
        <v>12</v>
      </c>
      <c r="AL20" s="620">
        <v>146.18</v>
      </c>
      <c r="AM20" s="182">
        <f t="shared" si="17"/>
        <v>0</v>
      </c>
      <c r="AN20" s="620">
        <v>26.371</v>
      </c>
      <c r="AO20" s="182">
        <f t="shared" si="18"/>
        <v>0</v>
      </c>
      <c r="AP20" s="648">
        <v>89.224</v>
      </c>
      <c r="AQ20" s="182">
        <f t="shared" si="2"/>
        <v>0</v>
      </c>
      <c r="AR20" s="620">
        <v>547.785</v>
      </c>
      <c r="AS20" s="182">
        <f t="shared" si="19"/>
        <v>0</v>
      </c>
      <c r="AT20" s="620">
        <v>30467.733333333326</v>
      </c>
      <c r="AU20" s="182">
        <f t="shared" si="20"/>
        <v>10</v>
      </c>
      <c r="AV20" s="620">
        <v>42258.75</v>
      </c>
      <c r="AW20" s="182">
        <f t="shared" si="21"/>
        <v>0</v>
      </c>
      <c r="AX20" s="620">
        <v>10804.548000000004</v>
      </c>
      <c r="AY20" s="182">
        <f t="shared" si="22"/>
        <v>2</v>
      </c>
      <c r="AZ20" s="620">
        <v>13360</v>
      </c>
      <c r="BA20" s="182">
        <f t="shared" si="23"/>
        <v>0</v>
      </c>
      <c r="BB20" s="620">
        <v>6496.16</v>
      </c>
      <c r="BC20" s="182">
        <f t="shared" si="25"/>
        <v>2</v>
      </c>
      <c r="BD20" s="620">
        <v>1129.625</v>
      </c>
      <c r="BE20" s="182">
        <f t="shared" si="24"/>
        <v>19</v>
      </c>
      <c r="BF20" s="534">
        <f t="shared" si="3"/>
        <v>640</v>
      </c>
      <c r="BG20" s="2"/>
      <c r="BH20" s="160"/>
    </row>
    <row r="21" spans="2:60" ht="19.5" customHeight="1">
      <c r="B21" s="70">
        <v>15</v>
      </c>
      <c r="C21" s="567">
        <v>579</v>
      </c>
      <c r="D21" s="567">
        <v>172</v>
      </c>
      <c r="E21" s="567">
        <v>89</v>
      </c>
      <c r="F21" s="213">
        <f t="shared" si="0"/>
        <v>840</v>
      </c>
      <c r="G21" s="524"/>
      <c r="H21" s="42">
        <v>15</v>
      </c>
      <c r="I21" s="576">
        <v>18136.283</v>
      </c>
      <c r="J21" s="554">
        <f t="shared" si="4"/>
        <v>33</v>
      </c>
      <c r="K21" s="575">
        <v>5176.728</v>
      </c>
      <c r="L21" s="554">
        <f t="shared" si="5"/>
        <v>84</v>
      </c>
      <c r="M21" s="213">
        <f t="shared" si="6"/>
        <v>117</v>
      </c>
      <c r="N21" s="129"/>
      <c r="O21" s="42">
        <v>15</v>
      </c>
      <c r="P21" s="620">
        <v>67453.713</v>
      </c>
      <c r="Q21" s="182">
        <f t="shared" si="7"/>
        <v>53</v>
      </c>
      <c r="R21" s="620">
        <v>27496.76</v>
      </c>
      <c r="S21" s="182">
        <f t="shared" si="8"/>
        <v>124</v>
      </c>
      <c r="T21" s="620">
        <v>60633.583</v>
      </c>
      <c r="U21" s="182">
        <f t="shared" si="9"/>
        <v>70</v>
      </c>
      <c r="V21" s="620">
        <v>20002.729</v>
      </c>
      <c r="W21" s="182">
        <f t="shared" si="10"/>
        <v>37</v>
      </c>
      <c r="X21" s="620">
        <v>4797.585</v>
      </c>
      <c r="Y21" s="182">
        <f t="shared" si="11"/>
        <v>92</v>
      </c>
      <c r="Z21" s="620">
        <v>29122.956</v>
      </c>
      <c r="AA21" s="182">
        <f t="shared" si="12"/>
        <v>141</v>
      </c>
      <c r="AB21" s="620">
        <v>35657.056</v>
      </c>
      <c r="AC21" s="182">
        <f t="shared" si="13"/>
        <v>61</v>
      </c>
      <c r="AD21" s="620">
        <v>2953.143</v>
      </c>
      <c r="AE21" s="182">
        <f t="shared" si="14"/>
        <v>10</v>
      </c>
      <c r="AF21" s="620">
        <v>24.36</v>
      </c>
      <c r="AG21" s="182">
        <f t="shared" si="15"/>
        <v>0</v>
      </c>
      <c r="AH21" s="620">
        <v>449.58</v>
      </c>
      <c r="AI21" s="182">
        <f t="shared" si="16"/>
        <v>0</v>
      </c>
      <c r="AJ21" s="620">
        <v>1549.76</v>
      </c>
      <c r="AK21" s="182">
        <f t="shared" si="1"/>
        <v>15</v>
      </c>
      <c r="AL21" s="620">
        <v>146.18</v>
      </c>
      <c r="AM21" s="182">
        <f t="shared" si="17"/>
        <v>0</v>
      </c>
      <c r="AN21" s="620">
        <v>26.371</v>
      </c>
      <c r="AO21" s="182">
        <f t="shared" si="18"/>
        <v>0</v>
      </c>
      <c r="AP21" s="648">
        <v>89.224</v>
      </c>
      <c r="AQ21" s="182">
        <f t="shared" si="2"/>
        <v>0</v>
      </c>
      <c r="AR21" s="620">
        <v>547.785</v>
      </c>
      <c r="AS21" s="182">
        <f t="shared" si="19"/>
        <v>0</v>
      </c>
      <c r="AT21" s="620">
        <v>30467.81666666666</v>
      </c>
      <c r="AU21" s="182">
        <f t="shared" si="20"/>
        <v>10</v>
      </c>
      <c r="AV21" s="620">
        <v>42258.775</v>
      </c>
      <c r="AW21" s="182">
        <f t="shared" si="21"/>
        <v>1</v>
      </c>
      <c r="AX21" s="620">
        <v>10806.262000000004</v>
      </c>
      <c r="AY21" s="182">
        <f t="shared" si="22"/>
        <v>2</v>
      </c>
      <c r="AZ21" s="620">
        <v>13360</v>
      </c>
      <c r="BA21" s="182">
        <f t="shared" si="23"/>
        <v>0</v>
      </c>
      <c r="BB21" s="620">
        <v>6496.194</v>
      </c>
      <c r="BC21" s="182">
        <f t="shared" si="25"/>
        <v>1</v>
      </c>
      <c r="BD21" s="620">
        <v>1129.792</v>
      </c>
      <c r="BE21" s="182">
        <f t="shared" si="24"/>
        <v>20</v>
      </c>
      <c r="BF21" s="534">
        <f t="shared" si="3"/>
        <v>637</v>
      </c>
      <c r="BG21" s="2"/>
      <c r="BH21" s="160"/>
    </row>
    <row r="22" spans="2:60" ht="19.5" customHeight="1">
      <c r="B22" s="70">
        <v>16</v>
      </c>
      <c r="C22" s="567">
        <v>611</v>
      </c>
      <c r="D22" s="567">
        <v>189</v>
      </c>
      <c r="E22" s="567">
        <v>86</v>
      </c>
      <c r="F22" s="213">
        <f t="shared" si="0"/>
        <v>886</v>
      </c>
      <c r="G22" s="524"/>
      <c r="H22" s="42">
        <v>16</v>
      </c>
      <c r="I22" s="576">
        <v>18136.588</v>
      </c>
      <c r="J22" s="554">
        <f t="shared" si="4"/>
        <v>37</v>
      </c>
      <c r="K22" s="575">
        <v>5177.412</v>
      </c>
      <c r="L22" s="554">
        <f t="shared" si="5"/>
        <v>82</v>
      </c>
      <c r="M22" s="213">
        <f t="shared" si="6"/>
        <v>119</v>
      </c>
      <c r="N22" s="129"/>
      <c r="O22" s="42">
        <v>16</v>
      </c>
      <c r="P22" s="620">
        <v>67454.375</v>
      </c>
      <c r="Q22" s="182">
        <f t="shared" si="7"/>
        <v>53</v>
      </c>
      <c r="R22" s="620">
        <v>27497.797</v>
      </c>
      <c r="S22" s="182">
        <f t="shared" si="8"/>
        <v>124</v>
      </c>
      <c r="T22" s="620">
        <v>60633.867</v>
      </c>
      <c r="U22" s="182">
        <f t="shared" si="9"/>
        <v>34</v>
      </c>
      <c r="V22" s="620">
        <v>20003.021</v>
      </c>
      <c r="W22" s="182">
        <f t="shared" si="10"/>
        <v>35</v>
      </c>
      <c r="X22" s="620">
        <v>4798.05</v>
      </c>
      <c r="Y22" s="182">
        <f t="shared" si="11"/>
        <v>93</v>
      </c>
      <c r="Z22" s="620">
        <v>29123.738</v>
      </c>
      <c r="AA22" s="182">
        <f t="shared" si="12"/>
        <v>125</v>
      </c>
      <c r="AB22" s="620">
        <v>35657.638</v>
      </c>
      <c r="AC22" s="182">
        <f t="shared" si="13"/>
        <v>93</v>
      </c>
      <c r="AD22" s="620">
        <v>2953.157</v>
      </c>
      <c r="AE22" s="182">
        <f t="shared" si="14"/>
        <v>4</v>
      </c>
      <c r="AF22" s="620">
        <v>24.36</v>
      </c>
      <c r="AG22" s="182">
        <f t="shared" si="15"/>
        <v>0</v>
      </c>
      <c r="AH22" s="620">
        <v>449.58</v>
      </c>
      <c r="AI22" s="182">
        <f t="shared" si="16"/>
        <v>0</v>
      </c>
      <c r="AJ22" s="620">
        <v>1549.82</v>
      </c>
      <c r="AK22" s="182">
        <f t="shared" si="1"/>
        <v>18</v>
      </c>
      <c r="AL22" s="620">
        <v>146.18</v>
      </c>
      <c r="AM22" s="182">
        <f t="shared" si="17"/>
        <v>0</v>
      </c>
      <c r="AN22" s="620">
        <v>26.371</v>
      </c>
      <c r="AO22" s="182">
        <f t="shared" si="18"/>
        <v>0</v>
      </c>
      <c r="AP22" s="648">
        <v>89.224</v>
      </c>
      <c r="AQ22" s="182">
        <f t="shared" si="2"/>
        <v>0</v>
      </c>
      <c r="AR22" s="620">
        <v>547.785</v>
      </c>
      <c r="AS22" s="182">
        <f t="shared" si="19"/>
        <v>0</v>
      </c>
      <c r="AT22" s="620">
        <v>30468.199999999993</v>
      </c>
      <c r="AU22" s="182">
        <f t="shared" si="20"/>
        <v>46</v>
      </c>
      <c r="AV22" s="620">
        <v>42258.9</v>
      </c>
      <c r="AW22" s="182">
        <f t="shared" si="21"/>
        <v>5</v>
      </c>
      <c r="AX22" s="620">
        <v>10807.917000000005</v>
      </c>
      <c r="AY22" s="182">
        <f t="shared" si="22"/>
        <v>2</v>
      </c>
      <c r="AZ22" s="620">
        <v>13360</v>
      </c>
      <c r="BA22" s="182">
        <f t="shared" si="23"/>
        <v>0</v>
      </c>
      <c r="BB22" s="620">
        <v>6496.227</v>
      </c>
      <c r="BC22" s="182">
        <f t="shared" si="25"/>
        <v>1</v>
      </c>
      <c r="BD22" s="620">
        <v>1129.95</v>
      </c>
      <c r="BE22" s="182">
        <f t="shared" si="24"/>
        <v>19</v>
      </c>
      <c r="BF22" s="534">
        <f t="shared" si="3"/>
        <v>652</v>
      </c>
      <c r="BG22" s="2"/>
      <c r="BH22" s="160"/>
    </row>
    <row r="23" spans="2:60" ht="19.5" customHeight="1">
      <c r="B23" s="70">
        <v>17</v>
      </c>
      <c r="C23" s="567">
        <v>646</v>
      </c>
      <c r="D23" s="567">
        <v>198</v>
      </c>
      <c r="E23" s="567">
        <v>83</v>
      </c>
      <c r="F23" s="213">
        <f t="shared" si="0"/>
        <v>927</v>
      </c>
      <c r="G23" s="524"/>
      <c r="H23" s="42">
        <v>17</v>
      </c>
      <c r="I23" s="576">
        <v>18136.887</v>
      </c>
      <c r="J23" s="554">
        <f t="shared" si="4"/>
        <v>36</v>
      </c>
      <c r="K23" s="575">
        <v>5178.092</v>
      </c>
      <c r="L23" s="554">
        <f t="shared" si="5"/>
        <v>82</v>
      </c>
      <c r="M23" s="213">
        <f t="shared" si="6"/>
        <v>118</v>
      </c>
      <c r="N23" s="129"/>
      <c r="O23" s="42">
        <v>17</v>
      </c>
      <c r="P23" s="620">
        <v>67455.038</v>
      </c>
      <c r="Q23" s="182">
        <f t="shared" si="7"/>
        <v>53</v>
      </c>
      <c r="R23" s="620">
        <v>27498.887</v>
      </c>
      <c r="S23" s="182">
        <f t="shared" si="8"/>
        <v>131</v>
      </c>
      <c r="T23" s="620">
        <v>60634.45</v>
      </c>
      <c r="U23" s="182">
        <f t="shared" si="9"/>
        <v>70</v>
      </c>
      <c r="V23" s="620">
        <v>20003.313</v>
      </c>
      <c r="W23" s="182">
        <f t="shared" si="10"/>
        <v>35</v>
      </c>
      <c r="X23" s="620">
        <v>4798.575</v>
      </c>
      <c r="Y23" s="182">
        <f t="shared" si="11"/>
        <v>105</v>
      </c>
      <c r="Z23" s="620">
        <v>29124.919</v>
      </c>
      <c r="AA23" s="182">
        <f t="shared" si="12"/>
        <v>189</v>
      </c>
      <c r="AB23" s="620">
        <v>35658.119</v>
      </c>
      <c r="AC23" s="182">
        <f t="shared" si="13"/>
        <v>77</v>
      </c>
      <c r="AD23" s="620">
        <v>2953.18</v>
      </c>
      <c r="AE23" s="182">
        <f t="shared" si="14"/>
        <v>7</v>
      </c>
      <c r="AF23" s="620">
        <v>24.36</v>
      </c>
      <c r="AG23" s="182">
        <f t="shared" si="15"/>
        <v>0</v>
      </c>
      <c r="AH23" s="620">
        <v>449.58</v>
      </c>
      <c r="AI23" s="182">
        <f t="shared" si="16"/>
        <v>0</v>
      </c>
      <c r="AJ23" s="620">
        <v>1549.87</v>
      </c>
      <c r="AK23" s="182">
        <f t="shared" si="1"/>
        <v>15</v>
      </c>
      <c r="AL23" s="620">
        <v>146.18</v>
      </c>
      <c r="AM23" s="182">
        <f t="shared" si="17"/>
        <v>0</v>
      </c>
      <c r="AN23" s="620">
        <v>26.371</v>
      </c>
      <c r="AO23" s="182">
        <f t="shared" si="18"/>
        <v>0</v>
      </c>
      <c r="AP23" s="648">
        <v>89.224</v>
      </c>
      <c r="AQ23" s="182">
        <f t="shared" si="2"/>
        <v>0</v>
      </c>
      <c r="AR23" s="620">
        <v>547.785</v>
      </c>
      <c r="AS23" s="182">
        <f t="shared" si="19"/>
        <v>0</v>
      </c>
      <c r="AT23" s="620">
        <v>30468.383333333328</v>
      </c>
      <c r="AU23" s="182">
        <f t="shared" si="20"/>
        <v>22</v>
      </c>
      <c r="AV23" s="620">
        <v>42259.625</v>
      </c>
      <c r="AW23" s="182">
        <f t="shared" si="21"/>
        <v>29</v>
      </c>
      <c r="AX23" s="620">
        <v>10809.592000000004</v>
      </c>
      <c r="AY23" s="182">
        <f t="shared" si="22"/>
        <v>2</v>
      </c>
      <c r="AZ23" s="620">
        <v>13360</v>
      </c>
      <c r="BA23" s="182">
        <f t="shared" si="23"/>
        <v>0</v>
      </c>
      <c r="BB23" s="620">
        <v>6496.294</v>
      </c>
      <c r="BC23" s="182">
        <f t="shared" si="25"/>
        <v>2</v>
      </c>
      <c r="BD23" s="620">
        <v>1130.117</v>
      </c>
      <c r="BE23" s="182">
        <f t="shared" si="24"/>
        <v>20</v>
      </c>
      <c r="BF23" s="534">
        <f t="shared" si="3"/>
        <v>757</v>
      </c>
      <c r="BG23" s="2"/>
      <c r="BH23" s="160"/>
    </row>
    <row r="24" spans="2:60" ht="19.5" customHeight="1">
      <c r="B24" s="70">
        <v>18</v>
      </c>
      <c r="C24" s="567">
        <v>660</v>
      </c>
      <c r="D24" s="567">
        <v>207</v>
      </c>
      <c r="E24" s="567">
        <v>82</v>
      </c>
      <c r="F24" s="213">
        <f t="shared" si="0"/>
        <v>949</v>
      </c>
      <c r="G24" s="524"/>
      <c r="H24" s="42">
        <v>18</v>
      </c>
      <c r="I24" s="576">
        <v>18137.186</v>
      </c>
      <c r="J24" s="554">
        <f t="shared" si="4"/>
        <v>36</v>
      </c>
      <c r="K24" s="575">
        <v>5178.717</v>
      </c>
      <c r="L24" s="554">
        <f t="shared" si="5"/>
        <v>75</v>
      </c>
      <c r="M24" s="213">
        <f t="shared" si="6"/>
        <v>111</v>
      </c>
      <c r="N24" s="129"/>
      <c r="O24" s="42">
        <v>18</v>
      </c>
      <c r="P24" s="620">
        <v>67455.6</v>
      </c>
      <c r="Q24" s="182">
        <f t="shared" si="7"/>
        <v>45</v>
      </c>
      <c r="R24" s="620">
        <v>27499.881</v>
      </c>
      <c r="S24" s="182">
        <f t="shared" si="8"/>
        <v>119</v>
      </c>
      <c r="T24" s="620">
        <v>60634.933</v>
      </c>
      <c r="U24" s="182">
        <f t="shared" si="9"/>
        <v>58</v>
      </c>
      <c r="V24" s="620">
        <v>20003.602</v>
      </c>
      <c r="W24" s="182">
        <f t="shared" si="10"/>
        <v>35</v>
      </c>
      <c r="X24" s="620">
        <v>4799.115</v>
      </c>
      <c r="Y24" s="182">
        <f t="shared" si="11"/>
        <v>108</v>
      </c>
      <c r="Z24" s="620">
        <v>29125.8</v>
      </c>
      <c r="AA24" s="182">
        <f t="shared" si="12"/>
        <v>141</v>
      </c>
      <c r="AB24" s="620">
        <v>35658.5</v>
      </c>
      <c r="AC24" s="182">
        <f t="shared" si="13"/>
        <v>61</v>
      </c>
      <c r="AD24" s="620">
        <v>2953.203</v>
      </c>
      <c r="AE24" s="182">
        <f t="shared" si="14"/>
        <v>7</v>
      </c>
      <c r="AF24" s="620">
        <v>24.36</v>
      </c>
      <c r="AG24" s="182">
        <f t="shared" si="15"/>
        <v>0</v>
      </c>
      <c r="AH24" s="620">
        <v>449.58</v>
      </c>
      <c r="AI24" s="182">
        <f t="shared" si="16"/>
        <v>0</v>
      </c>
      <c r="AJ24" s="620">
        <v>1549.91</v>
      </c>
      <c r="AK24" s="182">
        <f t="shared" si="1"/>
        <v>12</v>
      </c>
      <c r="AL24" s="620">
        <v>146.18</v>
      </c>
      <c r="AM24" s="182">
        <f t="shared" si="17"/>
        <v>0</v>
      </c>
      <c r="AN24" s="620">
        <v>26.371</v>
      </c>
      <c r="AO24" s="182">
        <f t="shared" si="18"/>
        <v>0</v>
      </c>
      <c r="AP24" s="648">
        <v>89.224</v>
      </c>
      <c r="AQ24" s="182">
        <f t="shared" si="2"/>
        <v>0</v>
      </c>
      <c r="AR24" s="620">
        <v>547.785</v>
      </c>
      <c r="AS24" s="182">
        <f t="shared" si="19"/>
        <v>0</v>
      </c>
      <c r="AT24" s="620">
        <v>30468.566666666662</v>
      </c>
      <c r="AU24" s="182">
        <f t="shared" si="20"/>
        <v>22</v>
      </c>
      <c r="AV24" s="620">
        <v>42260.45</v>
      </c>
      <c r="AW24" s="182">
        <f t="shared" si="21"/>
        <v>33</v>
      </c>
      <c r="AX24" s="620">
        <v>10811.276000000003</v>
      </c>
      <c r="AY24" s="182">
        <f t="shared" si="22"/>
        <v>2</v>
      </c>
      <c r="AZ24" s="620">
        <v>13360</v>
      </c>
      <c r="BA24" s="182">
        <f t="shared" si="23"/>
        <v>0</v>
      </c>
      <c r="BB24" s="620">
        <v>6496.327</v>
      </c>
      <c r="BC24" s="182">
        <f t="shared" si="25"/>
        <v>1</v>
      </c>
      <c r="BD24" s="620">
        <v>1130.283</v>
      </c>
      <c r="BE24" s="182">
        <f t="shared" si="24"/>
        <v>20</v>
      </c>
      <c r="BF24" s="534">
        <f t="shared" si="3"/>
        <v>664</v>
      </c>
      <c r="BG24" s="2"/>
      <c r="BH24" s="160"/>
    </row>
    <row r="25" spans="2:60" ht="19.5" customHeight="1">
      <c r="B25" s="70">
        <v>19</v>
      </c>
      <c r="C25" s="567">
        <v>670</v>
      </c>
      <c r="D25" s="567">
        <v>219</v>
      </c>
      <c r="E25" s="567">
        <v>84</v>
      </c>
      <c r="F25" s="213">
        <f t="shared" si="0"/>
        <v>973</v>
      </c>
      <c r="G25" s="524"/>
      <c r="H25" s="42">
        <v>19</v>
      </c>
      <c r="I25" s="576">
        <v>18137.496</v>
      </c>
      <c r="J25" s="554">
        <f t="shared" si="4"/>
        <v>37</v>
      </c>
      <c r="K25" s="575">
        <v>5179.286</v>
      </c>
      <c r="L25" s="554">
        <f t="shared" si="5"/>
        <v>68</v>
      </c>
      <c r="M25" s="213">
        <f t="shared" si="6"/>
        <v>105</v>
      </c>
      <c r="N25" s="129"/>
      <c r="O25" s="42">
        <v>19</v>
      </c>
      <c r="P25" s="620">
        <v>67456.363</v>
      </c>
      <c r="Q25" s="182">
        <f t="shared" si="7"/>
        <v>61</v>
      </c>
      <c r="R25" s="620">
        <v>27501.01</v>
      </c>
      <c r="S25" s="182">
        <f t="shared" si="8"/>
        <v>135</v>
      </c>
      <c r="T25" s="620">
        <v>60635.517</v>
      </c>
      <c r="U25" s="182">
        <f t="shared" si="9"/>
        <v>70</v>
      </c>
      <c r="V25" s="620">
        <v>20003.945</v>
      </c>
      <c r="W25" s="182">
        <f t="shared" si="10"/>
        <v>41</v>
      </c>
      <c r="X25" s="620">
        <v>4799.675</v>
      </c>
      <c r="Y25" s="182">
        <f t="shared" si="11"/>
        <v>112</v>
      </c>
      <c r="Z25" s="620">
        <v>29126.681</v>
      </c>
      <c r="AA25" s="182">
        <f t="shared" si="12"/>
        <v>141</v>
      </c>
      <c r="AB25" s="620">
        <v>35658.981</v>
      </c>
      <c r="AC25" s="182">
        <f t="shared" si="13"/>
        <v>77</v>
      </c>
      <c r="AD25" s="620">
        <v>2953.227</v>
      </c>
      <c r="AE25" s="182">
        <f t="shared" si="14"/>
        <v>7</v>
      </c>
      <c r="AF25" s="620">
        <v>24.36</v>
      </c>
      <c r="AG25" s="182">
        <f t="shared" si="15"/>
        <v>0</v>
      </c>
      <c r="AH25" s="620">
        <v>449.58</v>
      </c>
      <c r="AI25" s="182">
        <f t="shared" si="16"/>
        <v>0</v>
      </c>
      <c r="AJ25" s="620">
        <v>1549.91</v>
      </c>
      <c r="AK25" s="182">
        <f t="shared" si="1"/>
        <v>0</v>
      </c>
      <c r="AL25" s="620">
        <v>146.18</v>
      </c>
      <c r="AM25" s="182">
        <f t="shared" si="17"/>
        <v>0</v>
      </c>
      <c r="AN25" s="620">
        <v>26.371</v>
      </c>
      <c r="AO25" s="182">
        <f t="shared" si="18"/>
        <v>0</v>
      </c>
      <c r="AP25" s="648">
        <v>89.224</v>
      </c>
      <c r="AQ25" s="182">
        <f t="shared" si="2"/>
        <v>0</v>
      </c>
      <c r="AR25" s="620">
        <v>547.785</v>
      </c>
      <c r="AS25" s="182">
        <f t="shared" si="19"/>
        <v>0</v>
      </c>
      <c r="AT25" s="620">
        <v>30468.649999999994</v>
      </c>
      <c r="AU25" s="182">
        <f t="shared" si="20"/>
        <v>10</v>
      </c>
      <c r="AV25" s="620">
        <v>42260.875</v>
      </c>
      <c r="AW25" s="182">
        <f t="shared" si="21"/>
        <v>17</v>
      </c>
      <c r="AX25" s="620">
        <v>10812.975000000004</v>
      </c>
      <c r="AY25" s="182">
        <f t="shared" si="22"/>
        <v>2</v>
      </c>
      <c r="AZ25" s="620">
        <v>13360</v>
      </c>
      <c r="BA25" s="182">
        <f t="shared" si="23"/>
        <v>0</v>
      </c>
      <c r="BB25" s="620">
        <v>6496.394</v>
      </c>
      <c r="BC25" s="182">
        <f t="shared" si="25"/>
        <v>2</v>
      </c>
      <c r="BD25" s="620">
        <v>1130.458</v>
      </c>
      <c r="BE25" s="182">
        <f t="shared" si="24"/>
        <v>21</v>
      </c>
      <c r="BF25" s="534">
        <f t="shared" si="3"/>
        <v>696</v>
      </c>
      <c r="BG25" s="2"/>
      <c r="BH25" s="160"/>
    </row>
    <row r="26" spans="2:60" ht="19.5" customHeight="1">
      <c r="B26" s="70">
        <v>20</v>
      </c>
      <c r="C26" s="567">
        <v>685</v>
      </c>
      <c r="D26" s="567">
        <v>216</v>
      </c>
      <c r="E26" s="567">
        <v>86</v>
      </c>
      <c r="F26" s="213">
        <f t="shared" si="0"/>
        <v>987</v>
      </c>
      <c r="G26" s="524"/>
      <c r="H26" s="42">
        <v>20</v>
      </c>
      <c r="I26" s="576">
        <v>18137.811</v>
      </c>
      <c r="J26" s="554">
        <f t="shared" si="4"/>
        <v>38</v>
      </c>
      <c r="K26" s="575">
        <v>5179.77</v>
      </c>
      <c r="L26" s="554">
        <f t="shared" si="5"/>
        <v>58</v>
      </c>
      <c r="M26" s="213">
        <f t="shared" si="6"/>
        <v>96</v>
      </c>
      <c r="N26" s="129"/>
      <c r="O26" s="42">
        <v>20</v>
      </c>
      <c r="P26" s="620">
        <v>67456.925</v>
      </c>
      <c r="Q26" s="182">
        <f t="shared" si="7"/>
        <v>45</v>
      </c>
      <c r="R26" s="620">
        <v>27502.201</v>
      </c>
      <c r="S26" s="182">
        <f t="shared" si="8"/>
        <v>143</v>
      </c>
      <c r="T26" s="620">
        <v>60636</v>
      </c>
      <c r="U26" s="182">
        <f t="shared" si="9"/>
        <v>58</v>
      </c>
      <c r="V26" s="620">
        <v>20004.316</v>
      </c>
      <c r="W26" s="182">
        <f t="shared" si="10"/>
        <v>45</v>
      </c>
      <c r="X26" s="620">
        <v>4800.305</v>
      </c>
      <c r="Y26" s="182">
        <f t="shared" si="11"/>
        <v>126</v>
      </c>
      <c r="Z26" s="620">
        <v>29127.563</v>
      </c>
      <c r="AA26" s="182">
        <f t="shared" si="12"/>
        <v>141</v>
      </c>
      <c r="AB26" s="620">
        <v>35659.363</v>
      </c>
      <c r="AC26" s="182">
        <f t="shared" si="13"/>
        <v>61</v>
      </c>
      <c r="AD26" s="620">
        <v>2953.24</v>
      </c>
      <c r="AE26" s="182">
        <f t="shared" si="14"/>
        <v>4</v>
      </c>
      <c r="AF26" s="620">
        <v>24.36</v>
      </c>
      <c r="AG26" s="182">
        <f t="shared" si="15"/>
        <v>0</v>
      </c>
      <c r="AH26" s="620">
        <v>449.58</v>
      </c>
      <c r="AI26" s="182">
        <f t="shared" si="16"/>
        <v>0</v>
      </c>
      <c r="AJ26" s="620">
        <v>1549.92</v>
      </c>
      <c r="AK26" s="182">
        <f t="shared" si="1"/>
        <v>3</v>
      </c>
      <c r="AL26" s="620">
        <v>146.18</v>
      </c>
      <c r="AM26" s="182">
        <f t="shared" si="17"/>
        <v>0</v>
      </c>
      <c r="AN26" s="620">
        <v>26.371</v>
      </c>
      <c r="AO26" s="182">
        <f t="shared" si="18"/>
        <v>0</v>
      </c>
      <c r="AP26" s="648">
        <v>89.224</v>
      </c>
      <c r="AQ26" s="182">
        <f t="shared" si="2"/>
        <v>0</v>
      </c>
      <c r="AR26" s="620">
        <v>547.785</v>
      </c>
      <c r="AS26" s="182">
        <f t="shared" si="19"/>
        <v>0</v>
      </c>
      <c r="AT26" s="620">
        <v>30468.733333333326</v>
      </c>
      <c r="AU26" s="182">
        <f t="shared" si="20"/>
        <v>10</v>
      </c>
      <c r="AV26" s="620">
        <v>42261.2</v>
      </c>
      <c r="AW26" s="182">
        <f t="shared" si="21"/>
        <v>13</v>
      </c>
      <c r="AX26" s="620">
        <v>10814.657000000005</v>
      </c>
      <c r="AY26" s="182">
        <f t="shared" si="22"/>
        <v>2</v>
      </c>
      <c r="AZ26" s="620">
        <v>13360</v>
      </c>
      <c r="BA26" s="182">
        <f t="shared" si="23"/>
        <v>0</v>
      </c>
      <c r="BB26" s="620">
        <v>6496.594</v>
      </c>
      <c r="BC26" s="182">
        <f t="shared" si="25"/>
        <v>6</v>
      </c>
      <c r="BD26" s="620">
        <v>1130.633</v>
      </c>
      <c r="BE26" s="182">
        <f t="shared" si="24"/>
        <v>21</v>
      </c>
      <c r="BF26" s="534">
        <f t="shared" si="3"/>
        <v>678</v>
      </c>
      <c r="BG26" s="2"/>
      <c r="BH26" s="160"/>
    </row>
    <row r="27" spans="2:60" ht="19.5" customHeight="1">
      <c r="B27" s="70">
        <v>21</v>
      </c>
      <c r="C27" s="567">
        <v>657</v>
      </c>
      <c r="D27" s="567">
        <v>209</v>
      </c>
      <c r="E27" s="567">
        <v>83</v>
      </c>
      <c r="F27" s="213">
        <f t="shared" si="0"/>
        <v>949</v>
      </c>
      <c r="G27" s="524"/>
      <c r="H27" s="42">
        <v>21</v>
      </c>
      <c r="I27" s="576">
        <v>18138.121</v>
      </c>
      <c r="J27" s="554">
        <f t="shared" si="4"/>
        <v>37</v>
      </c>
      <c r="K27" s="575">
        <v>5180.211</v>
      </c>
      <c r="L27" s="554">
        <f t="shared" si="5"/>
        <v>53</v>
      </c>
      <c r="M27" s="213">
        <f t="shared" si="6"/>
        <v>90</v>
      </c>
      <c r="N27" s="129"/>
      <c r="O27" s="42">
        <v>21</v>
      </c>
      <c r="P27" s="620">
        <v>67457.388</v>
      </c>
      <c r="Q27" s="182">
        <f t="shared" si="7"/>
        <v>37</v>
      </c>
      <c r="R27" s="620">
        <v>27503.523</v>
      </c>
      <c r="S27" s="182">
        <f t="shared" si="8"/>
        <v>159</v>
      </c>
      <c r="T27" s="620">
        <v>60636.583</v>
      </c>
      <c r="U27" s="182">
        <f t="shared" si="9"/>
        <v>70</v>
      </c>
      <c r="V27" s="620">
        <v>20004.729</v>
      </c>
      <c r="W27" s="182">
        <f t="shared" si="10"/>
        <v>50</v>
      </c>
      <c r="X27" s="620">
        <v>4800.94</v>
      </c>
      <c r="Y27" s="182">
        <f t="shared" si="11"/>
        <v>127</v>
      </c>
      <c r="Z27" s="620">
        <v>29128.044</v>
      </c>
      <c r="AA27" s="182">
        <f t="shared" si="12"/>
        <v>77</v>
      </c>
      <c r="AB27" s="620">
        <v>35659.944</v>
      </c>
      <c r="AC27" s="182">
        <f t="shared" si="13"/>
        <v>93</v>
      </c>
      <c r="AD27" s="620">
        <v>2953.273</v>
      </c>
      <c r="AE27" s="182">
        <f t="shared" si="14"/>
        <v>10</v>
      </c>
      <c r="AF27" s="620">
        <v>24.36</v>
      </c>
      <c r="AG27" s="182">
        <f t="shared" si="15"/>
        <v>0</v>
      </c>
      <c r="AH27" s="620">
        <v>449.58</v>
      </c>
      <c r="AI27" s="182">
        <f t="shared" si="16"/>
        <v>0</v>
      </c>
      <c r="AJ27" s="620">
        <v>1549.95</v>
      </c>
      <c r="AK27" s="182">
        <f t="shared" si="1"/>
        <v>9</v>
      </c>
      <c r="AL27" s="620">
        <v>146.18</v>
      </c>
      <c r="AM27" s="182">
        <f t="shared" si="17"/>
        <v>0</v>
      </c>
      <c r="AN27" s="620">
        <v>26.371</v>
      </c>
      <c r="AO27" s="182">
        <f t="shared" si="18"/>
        <v>0</v>
      </c>
      <c r="AP27" s="648">
        <v>89.224</v>
      </c>
      <c r="AQ27" s="182">
        <f t="shared" si="2"/>
        <v>0</v>
      </c>
      <c r="AR27" s="620">
        <v>547.785</v>
      </c>
      <c r="AS27" s="182">
        <f t="shared" si="19"/>
        <v>0</v>
      </c>
      <c r="AT27" s="620">
        <v>30469.21666666666</v>
      </c>
      <c r="AU27" s="182">
        <f t="shared" si="20"/>
        <v>58</v>
      </c>
      <c r="AV27" s="620">
        <v>42261.325</v>
      </c>
      <c r="AW27" s="182">
        <f t="shared" si="21"/>
        <v>5</v>
      </c>
      <c r="AX27" s="620">
        <v>10816.351000000004</v>
      </c>
      <c r="AY27" s="182">
        <f t="shared" si="22"/>
        <v>2</v>
      </c>
      <c r="AZ27" s="620">
        <v>13360</v>
      </c>
      <c r="BA27" s="182">
        <f t="shared" si="23"/>
        <v>0</v>
      </c>
      <c r="BB27" s="620">
        <v>6496.994</v>
      </c>
      <c r="BC27" s="182">
        <f t="shared" si="25"/>
        <v>12</v>
      </c>
      <c r="BD27" s="620">
        <v>1130.8</v>
      </c>
      <c r="BE27" s="182">
        <f t="shared" si="24"/>
        <v>20</v>
      </c>
      <c r="BF27" s="534">
        <f t="shared" si="3"/>
        <v>729</v>
      </c>
      <c r="BG27" s="2"/>
      <c r="BH27" s="160"/>
    </row>
    <row r="28" spans="2:60" ht="19.5" customHeight="1">
      <c r="B28" s="70">
        <v>22</v>
      </c>
      <c r="C28" s="567">
        <v>641</v>
      </c>
      <c r="D28" s="567">
        <v>202</v>
      </c>
      <c r="E28" s="567">
        <v>81</v>
      </c>
      <c r="F28" s="213">
        <f t="shared" si="0"/>
        <v>924</v>
      </c>
      <c r="G28" s="524"/>
      <c r="H28" s="42">
        <v>22</v>
      </c>
      <c r="I28" s="576">
        <v>18138.43</v>
      </c>
      <c r="J28" s="554">
        <f t="shared" si="4"/>
        <v>37</v>
      </c>
      <c r="K28" s="575">
        <v>5180.622</v>
      </c>
      <c r="L28" s="554">
        <f t="shared" si="5"/>
        <v>49</v>
      </c>
      <c r="M28" s="213">
        <f t="shared" si="6"/>
        <v>86</v>
      </c>
      <c r="N28" s="129"/>
      <c r="O28" s="42">
        <v>22</v>
      </c>
      <c r="P28" s="620">
        <v>67458.25</v>
      </c>
      <c r="Q28" s="182">
        <f t="shared" si="7"/>
        <v>69</v>
      </c>
      <c r="R28" s="620">
        <v>27505.08</v>
      </c>
      <c r="S28" s="182">
        <f t="shared" si="8"/>
        <v>187</v>
      </c>
      <c r="T28" s="620">
        <v>60637.267</v>
      </c>
      <c r="U28" s="182">
        <f t="shared" si="9"/>
        <v>82</v>
      </c>
      <c r="V28" s="620">
        <v>20005.125</v>
      </c>
      <c r="W28" s="182">
        <f t="shared" si="10"/>
        <v>48</v>
      </c>
      <c r="X28" s="620">
        <v>4801.53</v>
      </c>
      <c r="Y28" s="182">
        <f t="shared" si="11"/>
        <v>118</v>
      </c>
      <c r="Z28" s="620">
        <v>29128.625</v>
      </c>
      <c r="AA28" s="182">
        <f t="shared" si="12"/>
        <v>93</v>
      </c>
      <c r="AB28" s="620">
        <v>35660.325</v>
      </c>
      <c r="AC28" s="182">
        <f t="shared" si="13"/>
        <v>61</v>
      </c>
      <c r="AD28" s="620">
        <v>2953.307</v>
      </c>
      <c r="AE28" s="182">
        <f t="shared" si="14"/>
        <v>10</v>
      </c>
      <c r="AF28" s="620">
        <v>24.36</v>
      </c>
      <c r="AG28" s="182">
        <f t="shared" si="15"/>
        <v>0</v>
      </c>
      <c r="AH28" s="620">
        <v>449.58</v>
      </c>
      <c r="AI28" s="182">
        <f t="shared" si="16"/>
        <v>0</v>
      </c>
      <c r="AJ28" s="620">
        <v>1550</v>
      </c>
      <c r="AK28" s="182">
        <f t="shared" si="1"/>
        <v>15</v>
      </c>
      <c r="AL28" s="620">
        <v>146.18</v>
      </c>
      <c r="AM28" s="182">
        <f t="shared" si="17"/>
        <v>0</v>
      </c>
      <c r="AN28" s="620">
        <v>26.371</v>
      </c>
      <c r="AO28" s="182">
        <f t="shared" si="18"/>
        <v>0</v>
      </c>
      <c r="AP28" s="648">
        <v>89.224</v>
      </c>
      <c r="AQ28" s="182">
        <f t="shared" si="2"/>
        <v>0</v>
      </c>
      <c r="AR28" s="620">
        <v>547.785</v>
      </c>
      <c r="AS28" s="182">
        <f t="shared" si="19"/>
        <v>0</v>
      </c>
      <c r="AT28" s="620">
        <v>30469.699999999993</v>
      </c>
      <c r="AU28" s="182">
        <f t="shared" si="20"/>
        <v>58</v>
      </c>
      <c r="AV28" s="620">
        <v>42261.35</v>
      </c>
      <c r="AW28" s="182">
        <f t="shared" si="21"/>
        <v>1</v>
      </c>
      <c r="AX28" s="620">
        <v>10818.017000000003</v>
      </c>
      <c r="AY28" s="182">
        <f t="shared" si="22"/>
        <v>2</v>
      </c>
      <c r="AZ28" s="620">
        <v>13360</v>
      </c>
      <c r="BA28" s="182">
        <f t="shared" si="23"/>
        <v>0</v>
      </c>
      <c r="BB28" s="620">
        <v>6497.194</v>
      </c>
      <c r="BC28" s="182">
        <f t="shared" si="25"/>
        <v>6</v>
      </c>
      <c r="BD28" s="620">
        <v>1130.967</v>
      </c>
      <c r="BE28" s="182">
        <f t="shared" si="24"/>
        <v>20</v>
      </c>
      <c r="BF28" s="534">
        <f t="shared" si="3"/>
        <v>770</v>
      </c>
      <c r="BG28" s="2"/>
      <c r="BH28" s="160"/>
    </row>
    <row r="29" spans="2:60" ht="19.5" customHeight="1">
      <c r="B29" s="70">
        <v>23</v>
      </c>
      <c r="C29" s="567">
        <v>638</v>
      </c>
      <c r="D29" s="567">
        <v>202</v>
      </c>
      <c r="E29" s="567">
        <v>78</v>
      </c>
      <c r="F29" s="213">
        <f t="shared" si="0"/>
        <v>918</v>
      </c>
      <c r="G29" s="524"/>
      <c r="H29" s="42">
        <v>23</v>
      </c>
      <c r="I29" s="576">
        <v>18138.736</v>
      </c>
      <c r="J29" s="554">
        <f t="shared" si="4"/>
        <v>37</v>
      </c>
      <c r="K29" s="575">
        <v>5181.027</v>
      </c>
      <c r="L29" s="554">
        <f t="shared" si="5"/>
        <v>49</v>
      </c>
      <c r="M29" s="213">
        <f t="shared" si="6"/>
        <v>86</v>
      </c>
      <c r="N29" s="129"/>
      <c r="O29" s="42">
        <v>23</v>
      </c>
      <c r="P29" s="620">
        <v>67458.413</v>
      </c>
      <c r="Q29" s="182">
        <f t="shared" si="7"/>
        <v>13</v>
      </c>
      <c r="R29" s="620">
        <v>27506.629</v>
      </c>
      <c r="S29" s="182">
        <f t="shared" si="8"/>
        <v>186</v>
      </c>
      <c r="T29" s="620">
        <v>60637.75</v>
      </c>
      <c r="U29" s="182">
        <f t="shared" si="9"/>
        <v>58</v>
      </c>
      <c r="V29" s="620">
        <v>20005.535</v>
      </c>
      <c r="W29" s="182">
        <f t="shared" si="10"/>
        <v>49</v>
      </c>
      <c r="X29" s="620">
        <v>4802.055</v>
      </c>
      <c r="Y29" s="182">
        <f t="shared" si="11"/>
        <v>105</v>
      </c>
      <c r="Z29" s="620">
        <v>29128.906</v>
      </c>
      <c r="AA29" s="182">
        <f t="shared" si="12"/>
        <v>45</v>
      </c>
      <c r="AB29" s="620">
        <v>35660.706</v>
      </c>
      <c r="AC29" s="182">
        <f t="shared" si="13"/>
        <v>61</v>
      </c>
      <c r="AD29" s="620">
        <v>2953.32</v>
      </c>
      <c r="AE29" s="182">
        <f t="shared" si="14"/>
        <v>4</v>
      </c>
      <c r="AF29" s="620">
        <v>24.36</v>
      </c>
      <c r="AG29" s="182">
        <f t="shared" si="15"/>
        <v>0</v>
      </c>
      <c r="AH29" s="620">
        <v>449.58</v>
      </c>
      <c r="AI29" s="182">
        <f t="shared" si="16"/>
        <v>0</v>
      </c>
      <c r="AJ29" s="620">
        <v>1550.01</v>
      </c>
      <c r="AK29" s="182">
        <f t="shared" si="1"/>
        <v>3</v>
      </c>
      <c r="AL29" s="620">
        <v>146.18</v>
      </c>
      <c r="AM29" s="182">
        <f t="shared" si="17"/>
        <v>0</v>
      </c>
      <c r="AN29" s="620">
        <v>26.371</v>
      </c>
      <c r="AO29" s="182">
        <f t="shared" si="18"/>
        <v>0</v>
      </c>
      <c r="AP29" s="648">
        <v>89.224</v>
      </c>
      <c r="AQ29" s="182">
        <f t="shared" si="2"/>
        <v>0</v>
      </c>
      <c r="AR29" s="620">
        <v>547.785</v>
      </c>
      <c r="AS29" s="182">
        <f t="shared" si="19"/>
        <v>0</v>
      </c>
      <c r="AT29" s="620">
        <v>30469.699999999993</v>
      </c>
      <c r="AU29" s="182">
        <f t="shared" si="20"/>
        <v>0</v>
      </c>
      <c r="AV29" s="620">
        <v>42261.475</v>
      </c>
      <c r="AW29" s="182">
        <f t="shared" si="21"/>
        <v>5</v>
      </c>
      <c r="AX29" s="620">
        <v>10819.742000000004</v>
      </c>
      <c r="AY29" s="182">
        <f t="shared" si="22"/>
        <v>2</v>
      </c>
      <c r="AZ29" s="620">
        <v>13360</v>
      </c>
      <c r="BA29" s="182">
        <f t="shared" si="23"/>
        <v>0</v>
      </c>
      <c r="BB29" s="620">
        <v>6497.327</v>
      </c>
      <c r="BC29" s="182">
        <f t="shared" si="25"/>
        <v>4</v>
      </c>
      <c r="BD29" s="620">
        <v>1131.117</v>
      </c>
      <c r="BE29" s="182">
        <f t="shared" si="24"/>
        <v>18</v>
      </c>
      <c r="BF29" s="534">
        <f t="shared" si="3"/>
        <v>553</v>
      </c>
      <c r="BG29" s="2"/>
      <c r="BH29" s="160"/>
    </row>
    <row r="30" spans="2:60" ht="19.5" customHeight="1">
      <c r="B30" s="70">
        <v>24</v>
      </c>
      <c r="C30" s="567">
        <v>572</v>
      </c>
      <c r="D30" s="567">
        <v>192</v>
      </c>
      <c r="E30" s="567">
        <v>77</v>
      </c>
      <c r="F30" s="213">
        <f t="shared" si="0"/>
        <v>841</v>
      </c>
      <c r="G30" s="524"/>
      <c r="H30" s="42">
        <v>24</v>
      </c>
      <c r="I30" s="576">
        <v>18139.037</v>
      </c>
      <c r="J30" s="554">
        <f t="shared" si="4"/>
        <v>36</v>
      </c>
      <c r="K30" s="575">
        <v>5181.392</v>
      </c>
      <c r="L30" s="554">
        <f t="shared" si="5"/>
        <v>44</v>
      </c>
      <c r="M30" s="213">
        <f t="shared" si="6"/>
        <v>80</v>
      </c>
      <c r="N30" s="129"/>
      <c r="O30" s="42">
        <v>24</v>
      </c>
      <c r="P30" s="620">
        <v>67458.975</v>
      </c>
      <c r="Q30" s="182">
        <f t="shared" si="7"/>
        <v>45</v>
      </c>
      <c r="R30" s="620">
        <v>27507.93</v>
      </c>
      <c r="S30" s="182">
        <f t="shared" si="8"/>
        <v>156</v>
      </c>
      <c r="T30" s="620">
        <v>60638.333</v>
      </c>
      <c r="U30" s="182">
        <f t="shared" si="9"/>
        <v>70</v>
      </c>
      <c r="V30" s="620">
        <v>20005.93</v>
      </c>
      <c r="W30" s="182">
        <f t="shared" si="10"/>
        <v>47</v>
      </c>
      <c r="X30" s="620">
        <v>4802.465</v>
      </c>
      <c r="Y30" s="182">
        <f t="shared" si="11"/>
        <v>82</v>
      </c>
      <c r="Z30" s="620">
        <v>29129.688</v>
      </c>
      <c r="AA30" s="182">
        <f t="shared" si="12"/>
        <v>125</v>
      </c>
      <c r="AB30" s="620">
        <v>35661.188</v>
      </c>
      <c r="AC30" s="182">
        <f t="shared" si="13"/>
        <v>77</v>
      </c>
      <c r="AD30" s="620">
        <v>2953.333</v>
      </c>
      <c r="AE30" s="182">
        <f t="shared" si="14"/>
        <v>4</v>
      </c>
      <c r="AF30" s="620">
        <v>24.36</v>
      </c>
      <c r="AG30" s="182">
        <f t="shared" si="15"/>
        <v>0</v>
      </c>
      <c r="AH30" s="620">
        <v>449.58</v>
      </c>
      <c r="AI30" s="182">
        <f t="shared" si="16"/>
        <v>0</v>
      </c>
      <c r="AJ30" s="620">
        <v>1550.02</v>
      </c>
      <c r="AK30" s="182">
        <f t="shared" si="1"/>
        <v>3</v>
      </c>
      <c r="AL30" s="620">
        <v>146.18</v>
      </c>
      <c r="AM30" s="182">
        <f t="shared" si="17"/>
        <v>0</v>
      </c>
      <c r="AN30" s="620">
        <v>26.371</v>
      </c>
      <c r="AO30" s="182">
        <f t="shared" si="18"/>
        <v>0</v>
      </c>
      <c r="AP30" s="648">
        <v>89.224</v>
      </c>
      <c r="AQ30" s="182">
        <f t="shared" si="2"/>
        <v>0</v>
      </c>
      <c r="AR30" s="620">
        <v>547.785</v>
      </c>
      <c r="AS30" s="182">
        <f t="shared" si="19"/>
        <v>0</v>
      </c>
      <c r="AT30" s="620">
        <v>30469.699999999993</v>
      </c>
      <c r="AU30" s="182">
        <f t="shared" si="20"/>
        <v>0</v>
      </c>
      <c r="AV30" s="620">
        <v>42261.6</v>
      </c>
      <c r="AW30" s="182">
        <f t="shared" si="21"/>
        <v>5</v>
      </c>
      <c r="AX30" s="620">
        <v>10821.404000000004</v>
      </c>
      <c r="AY30" s="182">
        <f t="shared" si="22"/>
        <v>2</v>
      </c>
      <c r="AZ30" s="620">
        <v>13360</v>
      </c>
      <c r="BA30" s="182">
        <f t="shared" si="23"/>
        <v>0</v>
      </c>
      <c r="BB30" s="620">
        <v>6497.427</v>
      </c>
      <c r="BC30" s="182">
        <f t="shared" si="25"/>
        <v>3</v>
      </c>
      <c r="BD30" s="620">
        <v>1131.258</v>
      </c>
      <c r="BE30" s="182">
        <f t="shared" si="24"/>
        <v>17</v>
      </c>
      <c r="BF30" s="534">
        <f t="shared" si="3"/>
        <v>636</v>
      </c>
      <c r="BG30" s="2"/>
      <c r="BH30" s="160"/>
    </row>
    <row r="31" spans="2:60" ht="19.5" customHeight="1">
      <c r="B31" s="70">
        <v>1</v>
      </c>
      <c r="C31" s="567">
        <v>543</v>
      </c>
      <c r="D31" s="567">
        <v>184</v>
      </c>
      <c r="E31" s="567">
        <v>76</v>
      </c>
      <c r="F31" s="213">
        <f t="shared" si="0"/>
        <v>803</v>
      </c>
      <c r="G31" s="524"/>
      <c r="H31" s="42">
        <v>1</v>
      </c>
      <c r="I31" s="576">
        <v>18139.334</v>
      </c>
      <c r="J31" s="554">
        <f t="shared" si="4"/>
        <v>36</v>
      </c>
      <c r="K31" s="575">
        <v>5181.744</v>
      </c>
      <c r="L31" s="554">
        <f t="shared" si="5"/>
        <v>42</v>
      </c>
      <c r="M31" s="213">
        <f t="shared" si="6"/>
        <v>78</v>
      </c>
      <c r="N31" s="129"/>
      <c r="O31" s="42">
        <v>1</v>
      </c>
      <c r="P31" s="620">
        <v>67459.338</v>
      </c>
      <c r="Q31" s="182">
        <f t="shared" si="7"/>
        <v>29</v>
      </c>
      <c r="R31" s="620">
        <v>27509.039</v>
      </c>
      <c r="S31" s="182">
        <f t="shared" si="8"/>
        <v>133</v>
      </c>
      <c r="T31" s="620">
        <v>60638.617</v>
      </c>
      <c r="U31" s="182">
        <f t="shared" si="9"/>
        <v>34</v>
      </c>
      <c r="V31" s="620">
        <v>20006.23</v>
      </c>
      <c r="W31" s="182">
        <f t="shared" si="10"/>
        <v>36</v>
      </c>
      <c r="X31" s="620">
        <v>4802.8</v>
      </c>
      <c r="Y31" s="182">
        <f t="shared" si="11"/>
        <v>67</v>
      </c>
      <c r="Z31" s="620">
        <v>29130.569</v>
      </c>
      <c r="AA31" s="182">
        <f t="shared" si="12"/>
        <v>141</v>
      </c>
      <c r="AB31" s="620">
        <v>35661.569</v>
      </c>
      <c r="AC31" s="182">
        <f t="shared" si="13"/>
        <v>61</v>
      </c>
      <c r="AD31" s="620">
        <v>2953.367</v>
      </c>
      <c r="AE31" s="182">
        <f t="shared" si="14"/>
        <v>10</v>
      </c>
      <c r="AF31" s="620">
        <v>24.36</v>
      </c>
      <c r="AG31" s="182">
        <f t="shared" si="15"/>
        <v>0</v>
      </c>
      <c r="AH31" s="620">
        <v>449.58</v>
      </c>
      <c r="AI31" s="182">
        <f t="shared" si="16"/>
        <v>0</v>
      </c>
      <c r="AJ31" s="620">
        <v>1550.04</v>
      </c>
      <c r="AK31" s="182">
        <f t="shared" si="1"/>
        <v>6</v>
      </c>
      <c r="AL31" s="620">
        <v>146.18</v>
      </c>
      <c r="AM31" s="182">
        <f t="shared" si="17"/>
        <v>0</v>
      </c>
      <c r="AN31" s="620">
        <v>26.371</v>
      </c>
      <c r="AO31" s="182">
        <f t="shared" si="18"/>
        <v>0</v>
      </c>
      <c r="AP31" s="648">
        <v>89.224</v>
      </c>
      <c r="AQ31" s="182">
        <f t="shared" si="2"/>
        <v>0</v>
      </c>
      <c r="AR31" s="620">
        <v>547.785</v>
      </c>
      <c r="AS31" s="182">
        <f t="shared" si="19"/>
        <v>0</v>
      </c>
      <c r="AT31" s="620">
        <v>30469.699999999993</v>
      </c>
      <c r="AU31" s="182">
        <f t="shared" si="20"/>
        <v>0</v>
      </c>
      <c r="AV31" s="620">
        <v>42261.6</v>
      </c>
      <c r="AW31" s="182">
        <f t="shared" si="21"/>
        <v>0</v>
      </c>
      <c r="AX31" s="620">
        <v>10823.053000000004</v>
      </c>
      <c r="AY31" s="182">
        <f t="shared" si="22"/>
        <v>2</v>
      </c>
      <c r="AZ31" s="620">
        <v>13360</v>
      </c>
      <c r="BA31" s="182">
        <f t="shared" si="23"/>
        <v>0</v>
      </c>
      <c r="BB31" s="620">
        <v>6497.494</v>
      </c>
      <c r="BC31" s="182">
        <f t="shared" si="25"/>
        <v>2</v>
      </c>
      <c r="BD31" s="620">
        <v>1131.392</v>
      </c>
      <c r="BE31" s="182">
        <f t="shared" si="24"/>
        <v>16</v>
      </c>
      <c r="BF31" s="534">
        <f t="shared" si="3"/>
        <v>537</v>
      </c>
      <c r="BG31" s="2"/>
      <c r="BH31" s="160"/>
    </row>
    <row r="32" spans="2:60" ht="19.5" customHeight="1" thickBot="1">
      <c r="B32" s="72">
        <v>2</v>
      </c>
      <c r="C32" s="570">
        <v>517</v>
      </c>
      <c r="D32" s="570">
        <v>182</v>
      </c>
      <c r="E32" s="570">
        <v>73</v>
      </c>
      <c r="F32" s="213">
        <f t="shared" si="0"/>
        <v>772</v>
      </c>
      <c r="G32" s="524"/>
      <c r="H32" s="214">
        <v>2</v>
      </c>
      <c r="I32" s="577">
        <v>18139.629</v>
      </c>
      <c r="J32" s="555">
        <f t="shared" si="4"/>
        <v>35</v>
      </c>
      <c r="K32" s="578">
        <v>5182.098</v>
      </c>
      <c r="L32" s="555">
        <f t="shared" si="5"/>
        <v>42</v>
      </c>
      <c r="M32" s="213">
        <f t="shared" si="6"/>
        <v>77</v>
      </c>
      <c r="N32" s="134"/>
      <c r="O32" s="214">
        <v>2</v>
      </c>
      <c r="P32" s="620">
        <v>67459.8</v>
      </c>
      <c r="Q32" s="182">
        <f t="shared" si="7"/>
        <v>37</v>
      </c>
      <c r="R32" s="620">
        <v>27509.861</v>
      </c>
      <c r="S32" s="182">
        <f t="shared" si="8"/>
        <v>99</v>
      </c>
      <c r="T32" s="620">
        <v>60639</v>
      </c>
      <c r="U32" s="182">
        <f t="shared" si="9"/>
        <v>46</v>
      </c>
      <c r="V32" s="620">
        <v>20006.484</v>
      </c>
      <c r="W32" s="182">
        <f t="shared" si="10"/>
        <v>30</v>
      </c>
      <c r="X32" s="620">
        <v>4803.105</v>
      </c>
      <c r="Y32" s="182">
        <f t="shared" si="11"/>
        <v>61</v>
      </c>
      <c r="Z32" s="620">
        <v>29131.45</v>
      </c>
      <c r="AA32" s="182">
        <f t="shared" si="12"/>
        <v>141</v>
      </c>
      <c r="AB32" s="620">
        <v>35661.75</v>
      </c>
      <c r="AC32" s="182">
        <f t="shared" si="13"/>
        <v>29</v>
      </c>
      <c r="AD32" s="620">
        <v>2953.39</v>
      </c>
      <c r="AE32" s="182">
        <f t="shared" si="14"/>
        <v>7</v>
      </c>
      <c r="AF32" s="620">
        <v>24.36</v>
      </c>
      <c r="AG32" s="182">
        <f t="shared" si="15"/>
        <v>0</v>
      </c>
      <c r="AH32" s="620">
        <v>449.58</v>
      </c>
      <c r="AI32" s="182">
        <f t="shared" si="16"/>
        <v>0</v>
      </c>
      <c r="AJ32" s="620">
        <v>1550.04</v>
      </c>
      <c r="AK32" s="182">
        <f t="shared" si="1"/>
        <v>0</v>
      </c>
      <c r="AL32" s="579">
        <v>146.18</v>
      </c>
      <c r="AM32" s="182">
        <f t="shared" si="17"/>
        <v>0</v>
      </c>
      <c r="AN32" s="620">
        <v>26.371</v>
      </c>
      <c r="AO32" s="182">
        <f t="shared" si="18"/>
        <v>0</v>
      </c>
      <c r="AP32" s="648">
        <v>89.224</v>
      </c>
      <c r="AQ32" s="182">
        <f t="shared" si="2"/>
        <v>0</v>
      </c>
      <c r="AR32" s="620">
        <v>547.785</v>
      </c>
      <c r="AS32" s="182">
        <f t="shared" si="19"/>
        <v>0</v>
      </c>
      <c r="AT32" s="620">
        <v>30469.699999999993</v>
      </c>
      <c r="AU32" s="182">
        <f t="shared" si="20"/>
        <v>0</v>
      </c>
      <c r="AV32" s="620">
        <v>42261.625</v>
      </c>
      <c r="AW32" s="182">
        <f t="shared" si="21"/>
        <v>1</v>
      </c>
      <c r="AX32" s="620">
        <v>10824.674000000003</v>
      </c>
      <c r="AY32" s="182">
        <f t="shared" si="22"/>
        <v>2</v>
      </c>
      <c r="AZ32" s="620">
        <v>13360</v>
      </c>
      <c r="BA32" s="182">
        <f t="shared" si="23"/>
        <v>0</v>
      </c>
      <c r="BB32" s="620">
        <v>6497.527</v>
      </c>
      <c r="BC32" s="182">
        <f t="shared" si="25"/>
        <v>1</v>
      </c>
      <c r="BD32" s="620">
        <v>1131.517</v>
      </c>
      <c r="BE32" s="182">
        <f t="shared" si="24"/>
        <v>15</v>
      </c>
      <c r="BF32" s="534">
        <f t="shared" si="3"/>
        <v>469</v>
      </c>
      <c r="BG32" s="2"/>
      <c r="BH32" s="160"/>
    </row>
    <row r="33" spans="2:60" ht="20.25" thickBot="1">
      <c r="B33" s="618" t="s">
        <v>61</v>
      </c>
      <c r="C33" s="203">
        <f>SUM(C9:C32)</f>
        <v>13784</v>
      </c>
      <c r="D33" s="203">
        <f>SUM(D9:D32)</f>
        <v>4251</v>
      </c>
      <c r="E33" s="203">
        <f>SUM(E9:E32)</f>
        <v>2077</v>
      </c>
      <c r="F33" s="215">
        <f>SUM(F9:F32)</f>
        <v>20112</v>
      </c>
      <c r="H33" s="662" t="s">
        <v>42</v>
      </c>
      <c r="I33" s="677"/>
      <c r="J33" s="201">
        <f>SUM(J9:J32)</f>
        <v>869</v>
      </c>
      <c r="K33" s="202"/>
      <c r="L33" s="203">
        <f>SUM(L9:L32)</f>
        <v>1500</v>
      </c>
      <c r="M33" s="215">
        <f>SUM(M9:M32)</f>
        <v>2369</v>
      </c>
      <c r="N33" s="204"/>
      <c r="O33" s="662" t="s">
        <v>42</v>
      </c>
      <c r="P33" s="677"/>
      <c r="Q33" s="201">
        <f>SUM(Q9:Q32)</f>
        <v>1184</v>
      </c>
      <c r="R33" s="202"/>
      <c r="S33" s="203">
        <f>SUM(S9:S32)</f>
        <v>3157</v>
      </c>
      <c r="T33" s="202"/>
      <c r="U33" s="203">
        <f>SUM(U9:U32)</f>
        <v>1800</v>
      </c>
      <c r="V33" s="202"/>
      <c r="W33" s="203">
        <f>SUM(W9:W32)</f>
        <v>908</v>
      </c>
      <c r="X33" s="202"/>
      <c r="Y33" s="203">
        <f>SUM(Y9:Y32)</f>
        <v>2241</v>
      </c>
      <c r="Z33" s="206"/>
      <c r="AA33" s="203">
        <f>SUM(AA9:AA32)</f>
        <v>3112</v>
      </c>
      <c r="AB33" s="202"/>
      <c r="AC33" s="203">
        <f>SUM(AC9:AC32)</f>
        <v>1880</v>
      </c>
      <c r="AD33" s="202"/>
      <c r="AE33" s="203">
        <f>SUM(AE9:AE32)</f>
        <v>417</v>
      </c>
      <c r="AF33" s="202"/>
      <c r="AG33" s="203">
        <f>SUM(AG9:AG32)</f>
        <v>0</v>
      </c>
      <c r="AH33" s="202"/>
      <c r="AI33" s="203">
        <f>SUM(AI9:AI32)</f>
        <v>0</v>
      </c>
      <c r="AJ33" s="202"/>
      <c r="AK33" s="203">
        <f>SUM(AK9:AK32)</f>
        <v>159</v>
      </c>
      <c r="AL33" s="202"/>
      <c r="AM33" s="203">
        <f>SUM(AM9:AM32)</f>
        <v>0</v>
      </c>
      <c r="AN33" s="202"/>
      <c r="AO33" s="203">
        <f>SUM(AO9:AO32)</f>
        <v>0</v>
      </c>
      <c r="AP33" s="202"/>
      <c r="AQ33" s="203">
        <f>SUM(AQ9:AQ32)</f>
        <v>0</v>
      </c>
      <c r="AR33" s="202"/>
      <c r="AS33" s="203">
        <f>SUM(AS9:AS32)</f>
        <v>0</v>
      </c>
      <c r="AT33" s="202"/>
      <c r="AU33" s="203">
        <f>SUM(AU9:AU32)</f>
        <v>444</v>
      </c>
      <c r="AV33" s="202"/>
      <c r="AW33" s="203">
        <f>SUM(AW9:AW32)</f>
        <v>265</v>
      </c>
      <c r="AX33" s="202"/>
      <c r="AY33" s="203">
        <f>SUM(AY9:AY32)</f>
        <v>48</v>
      </c>
      <c r="AZ33" s="202"/>
      <c r="BA33" s="203">
        <f>SUM(BA9:BA32)</f>
        <v>0</v>
      </c>
      <c r="BB33" s="202"/>
      <c r="BC33" s="203">
        <f>SUM(BC9:BC32)</f>
        <v>57</v>
      </c>
      <c r="BD33" s="202"/>
      <c r="BE33" s="203">
        <f>SUM(BE9:BE32)</f>
        <v>434</v>
      </c>
      <c r="BF33" s="215">
        <f>SUM(BF9:BF32)</f>
        <v>16106</v>
      </c>
      <c r="BG33" s="2"/>
      <c r="BH33" s="2"/>
    </row>
    <row r="34" spans="1:90" s="2" customFormat="1" ht="24.75" customHeight="1">
      <c r="A34"/>
      <c r="B34" s="1"/>
      <c r="C34" s="83"/>
      <c r="D34" s="83"/>
      <c r="E34" s="83"/>
      <c r="F34" s="83"/>
      <c r="G34"/>
      <c r="H34" s="108" t="s">
        <v>50</v>
      </c>
      <c r="J34" s="127">
        <f>SUM(J9:J32)/24</f>
        <v>36.208333333333336</v>
      </c>
      <c r="K34" s="136"/>
      <c r="L34" s="127"/>
      <c r="M34" s="127">
        <f>SUM(M9:M32)/24</f>
        <v>98.70833333333333</v>
      </c>
      <c r="N34" s="130"/>
      <c r="O34" s="108" t="s">
        <v>50</v>
      </c>
      <c r="Q34" s="127">
        <f>SUM(Q9:Q32)/24</f>
        <v>49.333333333333336</v>
      </c>
      <c r="R34" s="132"/>
      <c r="S34" s="127">
        <f>SUM(S9:S32)/24</f>
        <v>131.54166666666666</v>
      </c>
      <c r="T34" s="132"/>
      <c r="U34" s="127">
        <f>SUM(U9:U32)/24</f>
        <v>75</v>
      </c>
      <c r="V34" s="132"/>
      <c r="W34" s="127">
        <f>SUM(W9:W32)/24</f>
        <v>37.833333333333336</v>
      </c>
      <c r="X34" s="132"/>
      <c r="Y34" s="127">
        <f>SUM(Y9:Y32)/24</f>
        <v>93.375</v>
      </c>
      <c r="Z34" s="132"/>
      <c r="AA34" s="127">
        <f>SUM(AA9:AA32)/24</f>
        <v>129.66666666666666</v>
      </c>
      <c r="AB34" s="132"/>
      <c r="AC34" s="127">
        <f>SUM(AC9:AC32)/24</f>
        <v>78.33333333333333</v>
      </c>
      <c r="AD34" s="132"/>
      <c r="AE34" s="127">
        <f>SUM(AE9:AE32)/24</f>
        <v>17.375</v>
      </c>
      <c r="AF34" s="132"/>
      <c r="AG34" s="127">
        <f>SUM(AG9:AG32)/24</f>
        <v>0</v>
      </c>
      <c r="AH34" s="132"/>
      <c r="AI34" s="127">
        <f>SUM(AI9:AI32)/24</f>
        <v>0</v>
      </c>
      <c r="AJ34" s="132"/>
      <c r="AK34" s="127">
        <f>SUM(AK9:AK32)/24</f>
        <v>6.625</v>
      </c>
      <c r="AL34" s="127"/>
      <c r="AM34" s="127">
        <f>SUM(AM9:AM32)/24</f>
        <v>0</v>
      </c>
      <c r="AN34" s="127"/>
      <c r="AO34" s="127">
        <f>SUM(AO9:AO32)/24</f>
        <v>0</v>
      </c>
      <c r="AP34" s="127"/>
      <c r="AQ34" s="127">
        <f>SUM(AQ9:AQ32)/24</f>
        <v>0</v>
      </c>
      <c r="AR34" s="127"/>
      <c r="AS34" s="127">
        <f>SUM(AS9:AS32)/24</f>
        <v>0</v>
      </c>
      <c r="AT34" s="132"/>
      <c r="AU34" s="127">
        <f>SUM(AU9:AU32)/24</f>
        <v>18.5</v>
      </c>
      <c r="AV34" s="132"/>
      <c r="AW34" s="127">
        <f>SUM(AW9:AW32)/24</f>
        <v>11.041666666666666</v>
      </c>
      <c r="AX34" s="132"/>
      <c r="AY34" s="127">
        <f>SUM(AY9:AY32)/24</f>
        <v>2</v>
      </c>
      <c r="AZ34" s="132"/>
      <c r="BA34" s="127">
        <f>SUM(BA9:BA32)/24</f>
        <v>0</v>
      </c>
      <c r="BB34" s="127"/>
      <c r="BC34" s="127">
        <f>SUM(BC9:BC32)/24</f>
        <v>2.375</v>
      </c>
      <c r="BD34" s="127"/>
      <c r="BE34" s="127">
        <f>SUM(BE9:BE32)/24</f>
        <v>18.083333333333332</v>
      </c>
      <c r="BF34" s="127">
        <f>SUM(BF9:BF32)/24</f>
        <v>671.0833333333334</v>
      </c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</row>
    <row r="35" spans="1:58" s="2" customFormat="1" ht="15.75">
      <c r="A35"/>
      <c r="B35"/>
      <c r="C35" s="144"/>
      <c r="D35" s="144"/>
      <c r="E35" s="111" t="s">
        <v>66</v>
      </c>
      <c r="F35" s="83">
        <f>SUM(F9:F32)/24</f>
        <v>838</v>
      </c>
      <c r="H35" s="108" t="s">
        <v>51</v>
      </c>
      <c r="J35" s="127">
        <f>MAX(J9:J32)</f>
        <v>38</v>
      </c>
      <c r="K35" s="136"/>
      <c r="L35" s="127"/>
      <c r="M35" s="127">
        <f>MAX(M9:M32)</f>
        <v>137</v>
      </c>
      <c r="N35" s="130"/>
      <c r="O35" s="108" t="s">
        <v>51</v>
      </c>
      <c r="Q35" s="127">
        <f>MAX(Q9:Q32)</f>
        <v>165</v>
      </c>
      <c r="R35" s="192"/>
      <c r="S35" s="127">
        <f>MAX(S9:S32)</f>
        <v>187</v>
      </c>
      <c r="T35" s="192"/>
      <c r="U35" s="127">
        <f>MAX(U9:U32)</f>
        <v>202</v>
      </c>
      <c r="V35" s="192"/>
      <c r="W35" s="127">
        <f>MAX(W9:W32)</f>
        <v>50</v>
      </c>
      <c r="X35" s="192"/>
      <c r="Y35" s="127">
        <f>MAX(Y9:Y32)</f>
        <v>127</v>
      </c>
      <c r="Z35" s="192"/>
      <c r="AA35" s="127">
        <f>MAX(AA9:AA32)</f>
        <v>205</v>
      </c>
      <c r="AB35" s="192"/>
      <c r="AC35" s="127">
        <f>MAX(AC9:AC32)</f>
        <v>125</v>
      </c>
      <c r="AD35" s="192"/>
      <c r="AE35" s="127">
        <f>MAX(AE9:AE32)</f>
        <v>127</v>
      </c>
      <c r="AF35" s="192"/>
      <c r="AG35" s="127">
        <f>MAX(AG9:AG32)</f>
        <v>0</v>
      </c>
      <c r="AH35" s="192"/>
      <c r="AI35" s="127">
        <f>MAX(AI9:AI32)</f>
        <v>0</v>
      </c>
      <c r="AJ35" s="192"/>
      <c r="AK35" s="127">
        <f>MAX(AK9:AK32)</f>
        <v>18</v>
      </c>
      <c r="AL35" s="127"/>
      <c r="AM35" s="127">
        <f>MAX(AM9:AM32)</f>
        <v>0</v>
      </c>
      <c r="AN35" s="127"/>
      <c r="AO35" s="127">
        <f>MAX(AO9:AO32)</f>
        <v>0</v>
      </c>
      <c r="AP35" s="127"/>
      <c r="AQ35" s="127">
        <f>MAX(AQ9:AQ32)</f>
        <v>0</v>
      </c>
      <c r="AR35" s="127"/>
      <c r="AS35" s="127">
        <f>MAX(AS9:AS32)</f>
        <v>0</v>
      </c>
      <c r="AT35" s="192"/>
      <c r="AU35" s="127">
        <f>MAX(AU9:AU32)</f>
        <v>58</v>
      </c>
      <c r="AV35" s="192"/>
      <c r="AW35" s="127">
        <f>MAX(AW9:AW32)</f>
        <v>33</v>
      </c>
      <c r="AX35" s="192"/>
      <c r="AY35" s="127">
        <f>MAX(AY9:AY32)</f>
        <v>2</v>
      </c>
      <c r="AZ35" s="192"/>
      <c r="BA35" s="127">
        <f>MAX(BA9:BA32)</f>
        <v>0</v>
      </c>
      <c r="BB35" s="127"/>
      <c r="BC35" s="127">
        <f>MAX(BC9:BC32)</f>
        <v>12</v>
      </c>
      <c r="BD35" s="127"/>
      <c r="BE35" s="127">
        <f>MAX(BE9:BE32)</f>
        <v>21</v>
      </c>
      <c r="BF35" s="127">
        <f>MAX(BF9:BF32)</f>
        <v>914</v>
      </c>
    </row>
    <row r="36" spans="1:58" s="2" customFormat="1" ht="15.75">
      <c r="A36"/>
      <c r="B36"/>
      <c r="C36" s="144"/>
      <c r="D36" s="144"/>
      <c r="E36" s="111" t="s">
        <v>67</v>
      </c>
      <c r="F36" s="83">
        <f>MAX(F9:F32)</f>
        <v>987</v>
      </c>
      <c r="H36" s="110" t="s">
        <v>54</v>
      </c>
      <c r="J36" s="128">
        <f>J34/J35</f>
        <v>0.9528508771929826</v>
      </c>
      <c r="K36" s="196"/>
      <c r="L36" s="128"/>
      <c r="M36" s="128">
        <f>M34/M35</f>
        <v>0.7204987834549877</v>
      </c>
      <c r="N36" s="135"/>
      <c r="O36" s="110" t="s">
        <v>54</v>
      </c>
      <c r="Q36" s="128">
        <f>Q34/Q35</f>
        <v>0.29898989898989903</v>
      </c>
      <c r="R36" s="192"/>
      <c r="S36" s="128">
        <f>S34/S35</f>
        <v>0.7034313725490196</v>
      </c>
      <c r="T36" s="192"/>
      <c r="U36" s="128">
        <f>U34/U35</f>
        <v>0.3712871287128713</v>
      </c>
      <c r="V36" s="192"/>
      <c r="W36" s="128">
        <f>W34/W35</f>
        <v>0.7566666666666667</v>
      </c>
      <c r="X36" s="192"/>
      <c r="Y36" s="128">
        <f>Y34/Y35</f>
        <v>0.735236220472441</v>
      </c>
      <c r="Z36" s="192"/>
      <c r="AA36" s="128">
        <f>AA34/AA35</f>
        <v>0.632520325203252</v>
      </c>
      <c r="AB36" s="192"/>
      <c r="AC36" s="128">
        <f>AC34/AC35</f>
        <v>0.6266666666666666</v>
      </c>
      <c r="AD36" s="192"/>
      <c r="AE36" s="128">
        <f>AE34/AE35</f>
        <v>0.13681102362204725</v>
      </c>
      <c r="AF36" s="192"/>
      <c r="AG36" s="128">
        <v>0</v>
      </c>
      <c r="AH36" s="192"/>
      <c r="AI36" s="128" t="e">
        <f>AI34/AI35</f>
        <v>#DIV/0!</v>
      </c>
      <c r="AJ36" s="128"/>
      <c r="AK36" s="128">
        <v>0</v>
      </c>
      <c r="AL36" s="128"/>
      <c r="AM36" s="128">
        <v>0</v>
      </c>
      <c r="AN36" s="128"/>
      <c r="AO36" s="128">
        <v>0</v>
      </c>
      <c r="AP36" s="128"/>
      <c r="AQ36" s="128">
        <v>0</v>
      </c>
      <c r="AR36" s="128"/>
      <c r="AS36" s="128">
        <v>0</v>
      </c>
      <c r="AT36" s="192"/>
      <c r="AU36" s="128">
        <f>AU34/AU35</f>
        <v>0.31896551724137934</v>
      </c>
      <c r="AV36" s="192"/>
      <c r="AW36" s="128">
        <f>AW34/AW35</f>
        <v>0.33459595959595956</v>
      </c>
      <c r="AX36" s="192"/>
      <c r="AY36" s="128">
        <f>AY34/AY35</f>
        <v>1</v>
      </c>
      <c r="AZ36" s="192"/>
      <c r="BA36" s="128" t="e">
        <f>BA34/BA35</f>
        <v>#DIV/0!</v>
      </c>
      <c r="BB36" s="128"/>
      <c r="BC36" s="128">
        <f>BC34/BC35</f>
        <v>0.19791666666666666</v>
      </c>
      <c r="BD36" s="128"/>
      <c r="BE36" s="128">
        <f>BE34/BE35</f>
        <v>0.861111111111111</v>
      </c>
      <c r="BF36" s="128">
        <f>BF34/BF35</f>
        <v>0.7342268417213713</v>
      </c>
    </row>
    <row r="37" spans="1:90" s="2" customFormat="1" ht="15.75">
      <c r="A37"/>
      <c r="B37"/>
      <c r="C37" s="144"/>
      <c r="D37" s="144"/>
      <c r="E37" s="547" t="s">
        <v>54</v>
      </c>
      <c r="F37" s="566">
        <f>F35/F36</f>
        <v>0.8490374873353597</v>
      </c>
      <c r="G37"/>
      <c r="H37"/>
      <c r="I37"/>
      <c r="J37"/>
      <c r="K37"/>
      <c r="L37"/>
      <c r="M37"/>
      <c r="N37"/>
      <c r="O37"/>
      <c r="P37" s="115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</row>
    <row r="38" spans="1:90" s="2" customFormat="1" ht="15.75">
      <c r="A38"/>
      <c r="B38" s="108"/>
      <c r="C38"/>
      <c r="D38"/>
      <c r="E38" s="111"/>
      <c r="F38" s="111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</row>
    <row r="39" spans="1:90" s="2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</row>
    <row r="40" spans="1:90" s="2" customFormat="1" ht="12.75">
      <c r="A40"/>
      <c r="B40"/>
      <c r="C40" s="573" t="s">
        <v>290</v>
      </c>
      <c r="D40"/>
      <c r="E40" s="99"/>
      <c r="F40" s="101" t="s">
        <v>291</v>
      </c>
      <c r="G40"/>
      <c r="H40"/>
      <c r="I40"/>
      <c r="J40"/>
      <c r="K40"/>
      <c r="L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</row>
    <row r="41" spans="1:90" s="2" customFormat="1" ht="15.75">
      <c r="A41"/>
      <c r="B41" s="108"/>
      <c r="C41"/>
      <c r="D41"/>
      <c r="E41" s="111"/>
      <c r="F41" s="11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</row>
    <row r="42" spans="1:90" s="2" customFormat="1" ht="15.75">
      <c r="A42"/>
      <c r="B42" s="110"/>
      <c r="C42"/>
      <c r="D42"/>
      <c r="E42" s="547"/>
      <c r="F42" s="113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</row>
    <row r="43" spans="1:90" s="2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</row>
    <row r="44" spans="1:90" s="2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 s="259"/>
      <c r="AW44" s="259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</row>
    <row r="45" spans="1:90" s="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 s="259"/>
      <c r="AW45" s="259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</row>
    <row r="46" spans="1:90" s="2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 s="259"/>
      <c r="AW46" s="259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</row>
    <row r="47" spans="1:90" s="2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 s="259"/>
      <c r="AW47" s="259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</row>
    <row r="48" spans="1:90" s="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 s="259"/>
      <c r="AW48" s="259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</row>
    <row r="49" spans="1:90" s="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 s="259"/>
      <c r="AW49" s="25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</row>
    <row r="50" spans="1:90" s="104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 s="259"/>
      <c r="AW50" s="259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</row>
    <row r="51" spans="1:90" s="104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 s="259"/>
      <c r="AW51" s="259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</row>
    <row r="52" spans="1:90" s="104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 s="259"/>
      <c r="AW52" s="259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</row>
    <row r="53" spans="1:90" s="104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 s="259"/>
      <c r="AW53" s="259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</row>
    <row r="54" spans="1:90" s="104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 s="259"/>
      <c r="AW54" s="259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</row>
    <row r="55" spans="1:90" s="104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 s="259"/>
      <c r="AW55" s="259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</row>
    <row r="56" spans="1:90" s="104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 s="259"/>
      <c r="AW56" s="259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</row>
    <row r="57" spans="1:90" s="104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 s="259"/>
      <c r="AW57" s="259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</row>
    <row r="58" spans="1:90" s="104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 s="259"/>
      <c r="AW58" s="259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</row>
    <row r="59" spans="1:90" s="104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 s="259"/>
      <c r="AW59" s="2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</row>
    <row r="60" spans="1:90" s="104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 s="259"/>
      <c r="AW60" s="259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</row>
    <row r="61" spans="1:90" s="104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 s="259"/>
      <c r="AW61" s="259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</row>
    <row r="62" spans="1:90" s="104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 s="259"/>
      <c r="AW62" s="259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</row>
    <row r="63" spans="1:90" s="104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 s="259"/>
      <c r="AW63" s="259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</row>
    <row r="64" spans="1:90" s="104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 s="259"/>
      <c r="AW64" s="259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</row>
    <row r="65" spans="1:90" s="104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 s="259"/>
      <c r="AW65" s="259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</row>
    <row r="66" spans="1:90" s="104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 s="259"/>
      <c r="AW66" s="259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</row>
    <row r="67" spans="1:90" s="104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 s="259"/>
      <c r="AW67" s="259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</row>
    <row r="68" spans="1:90" s="104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 s="25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</row>
    <row r="69" spans="1:90" s="104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 s="258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</row>
    <row r="70" spans="1:90" s="104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 s="258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</row>
    <row r="71" spans="1:90" s="104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 s="258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</row>
    <row r="72" spans="1:90" s="104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 s="258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</row>
    <row r="73" spans="1:90" s="104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 s="258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</row>
    <row r="74" spans="1:90" s="104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 s="258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</row>
    <row r="75" spans="1:90" s="104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 s="258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</row>
    <row r="76" spans="1:90" s="104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 s="258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</row>
    <row r="77" spans="1:90" s="104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 s="258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</row>
    <row r="78" spans="1:90" s="104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 s="25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</row>
  </sheetData>
  <sheetProtection/>
  <mergeCells count="41">
    <mergeCell ref="AN6:AO6"/>
    <mergeCell ref="AP6:AQ6"/>
    <mergeCell ref="AR6:AS6"/>
    <mergeCell ref="AT6:AU6"/>
    <mergeCell ref="AL6:AM6"/>
    <mergeCell ref="O2:AE2"/>
    <mergeCell ref="H33:I33"/>
    <mergeCell ref="O33:P33"/>
    <mergeCell ref="AZ6:BA6"/>
    <mergeCell ref="BB6:BC6"/>
    <mergeCell ref="V6:W6"/>
    <mergeCell ref="X6:Y6"/>
    <mergeCell ref="Z6:AA6"/>
    <mergeCell ref="AV6:AW6"/>
    <mergeCell ref="AX6:AY6"/>
    <mergeCell ref="AB6:AC6"/>
    <mergeCell ref="AD6:AE6"/>
    <mergeCell ref="AF6:AG6"/>
    <mergeCell ref="AH6:AI6"/>
    <mergeCell ref="AJ6:AK6"/>
    <mergeCell ref="I5:L5"/>
    <mergeCell ref="M5:M7"/>
    <mergeCell ref="O5:O7"/>
    <mergeCell ref="P5:BE5"/>
    <mergeCell ref="BD6:BE6"/>
    <mergeCell ref="F6:F7"/>
    <mergeCell ref="I6:J6"/>
    <mergeCell ref="P6:Q6"/>
    <mergeCell ref="R6:S6"/>
    <mergeCell ref="T6:U6"/>
    <mergeCell ref="K6:L6"/>
    <mergeCell ref="BF5:BF7"/>
    <mergeCell ref="B4:F4"/>
    <mergeCell ref="H5:H7"/>
    <mergeCell ref="B1:F2"/>
    <mergeCell ref="G1:N1"/>
    <mergeCell ref="O1:AE1"/>
    <mergeCell ref="AH1:BF1"/>
    <mergeCell ref="G2:N2"/>
    <mergeCell ref="O3:AE3"/>
    <mergeCell ref="B6:B7"/>
  </mergeCells>
  <printOptions horizontalCentered="1"/>
  <pageMargins left="0" right="0" top="0.41" bottom="0.16" header="0.5118110236220472" footer="0.16"/>
  <pageSetup fitToWidth="0" fitToHeight="1" horizontalDpi="1200" verticalDpi="1200" orientation="landscape" paperSize="9" scale="71" r:id="rId3"/>
  <colBreaks count="4" manualBreakCount="4">
    <brk id="6" max="36" man="1"/>
    <brk id="14" max="36" man="1"/>
    <brk id="31" max="36" man="1"/>
    <brk id="49" max="36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L78"/>
  <sheetViews>
    <sheetView view="pageBreakPreview" zoomScale="70" zoomScaleSheetLayoutView="70" zoomScalePageLayoutView="0" workbookViewId="0" topLeftCell="A1">
      <selection activeCell="G25" sqref="G25"/>
    </sheetView>
  </sheetViews>
  <sheetFormatPr defaultColWidth="9.140625" defaultRowHeight="12.75"/>
  <cols>
    <col min="1" max="1" width="6.00390625" style="0" customWidth="1"/>
    <col min="2" max="18" width="11.57421875" style="0" customWidth="1"/>
    <col min="19" max="19" width="23.00390625" style="0" customWidth="1"/>
  </cols>
  <sheetData>
    <row r="1" spans="1:26" ht="33.75" customHeight="1">
      <c r="A1" s="679" t="str">
        <f>Сингапай!O1</f>
        <v>Ведомость контрольных замеров электрических нагрузок в сетях филиала АО "Горэлектросеть" "ПЭС", присоединенных к сетям ООО "РН-Юганскнефтегаз",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211"/>
      <c r="T1" s="211"/>
      <c r="U1" s="211"/>
      <c r="V1" s="211"/>
      <c r="W1" s="211"/>
      <c r="X1" s="211"/>
      <c r="Y1" s="211"/>
      <c r="Z1" s="211"/>
    </row>
    <row r="2" spans="1:26" ht="25.5" customHeight="1">
      <c r="A2" s="680" t="str">
        <f>Дата!B2</f>
        <v>19 июня 2019 год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211"/>
      <c r="T2" s="211"/>
      <c r="U2" s="211"/>
      <c r="V2" s="211"/>
      <c r="W2" s="211"/>
      <c r="X2" s="211"/>
      <c r="Y2" s="211"/>
      <c r="Z2" s="211"/>
    </row>
    <row r="3" spans="1:26" ht="25.5" customHeight="1">
      <c r="A3" s="674" t="s">
        <v>324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211"/>
      <c r="T3" s="211"/>
      <c r="U3" s="211"/>
      <c r="V3" s="211"/>
      <c r="W3" s="211"/>
      <c r="X3" s="211"/>
      <c r="Y3" s="211"/>
      <c r="Z3" s="211"/>
    </row>
    <row r="4" spans="2:20" ht="16.5" customHeight="1" thickBot="1">
      <c r="B4" s="29"/>
      <c r="C4" s="30"/>
      <c r="D4" s="29"/>
      <c r="E4" s="30"/>
      <c r="F4" s="29"/>
      <c r="G4" s="30"/>
      <c r="H4" s="29"/>
      <c r="I4" s="30"/>
      <c r="J4" s="29"/>
      <c r="K4" s="189"/>
      <c r="S4" s="2"/>
      <c r="T4" s="2"/>
    </row>
    <row r="5" spans="1:20" ht="0.75" customHeight="1" thickBot="1">
      <c r="A5" s="681" t="s">
        <v>22</v>
      </c>
      <c r="B5" s="684" t="s">
        <v>0</v>
      </c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823"/>
      <c r="R5" s="686" t="s">
        <v>276</v>
      </c>
      <c r="S5" s="2"/>
      <c r="T5" s="2"/>
    </row>
    <row r="6" spans="1:20" ht="36.75" customHeight="1" thickBot="1">
      <c r="A6" s="682"/>
      <c r="B6" s="821" t="s">
        <v>6</v>
      </c>
      <c r="C6" s="822"/>
      <c r="D6" s="821" t="s">
        <v>7</v>
      </c>
      <c r="E6" s="822"/>
      <c r="F6" s="817" t="s">
        <v>11</v>
      </c>
      <c r="G6" s="818"/>
      <c r="H6" s="817" t="s">
        <v>12</v>
      </c>
      <c r="I6" s="818"/>
      <c r="J6" s="817" t="s">
        <v>5</v>
      </c>
      <c r="K6" s="818"/>
      <c r="L6" s="817" t="s">
        <v>8</v>
      </c>
      <c r="M6" s="818"/>
      <c r="N6" s="819" t="s">
        <v>9</v>
      </c>
      <c r="O6" s="818"/>
      <c r="P6" s="819" t="s">
        <v>10</v>
      </c>
      <c r="Q6" s="818"/>
      <c r="R6" s="687"/>
      <c r="S6" s="2"/>
      <c r="T6" s="2"/>
    </row>
    <row r="7" spans="1:20" ht="51.75" customHeight="1" thickBot="1">
      <c r="A7" s="683"/>
      <c r="B7" s="557" t="s">
        <v>277</v>
      </c>
      <c r="C7" s="558" t="s">
        <v>150</v>
      </c>
      <c r="D7" s="557" t="s">
        <v>278</v>
      </c>
      <c r="E7" s="558" t="s">
        <v>150</v>
      </c>
      <c r="F7" s="557" t="s">
        <v>279</v>
      </c>
      <c r="G7" s="558" t="s">
        <v>44</v>
      </c>
      <c r="H7" s="557" t="s">
        <v>280</v>
      </c>
      <c r="I7" s="558" t="s">
        <v>44</v>
      </c>
      <c r="J7" s="557" t="s">
        <v>281</v>
      </c>
      <c r="K7" s="558" t="s">
        <v>45</v>
      </c>
      <c r="L7" s="557" t="s">
        <v>282</v>
      </c>
      <c r="M7" s="558" t="s">
        <v>43</v>
      </c>
      <c r="N7" s="557" t="s">
        <v>283</v>
      </c>
      <c r="O7" s="558" t="s">
        <v>17</v>
      </c>
      <c r="P7" s="557" t="s">
        <v>284</v>
      </c>
      <c r="Q7" s="558" t="s">
        <v>17</v>
      </c>
      <c r="R7" s="688"/>
      <c r="S7" s="2"/>
      <c r="T7" s="2"/>
    </row>
    <row r="8" spans="1:19" ht="19.5" customHeight="1">
      <c r="A8" s="37">
        <v>2</v>
      </c>
      <c r="B8" s="574">
        <v>21465.129</v>
      </c>
      <c r="C8" s="556"/>
      <c r="D8" s="574">
        <v>11738.249</v>
      </c>
      <c r="E8" s="399"/>
      <c r="F8" s="574">
        <v>2509.884</v>
      </c>
      <c r="G8" s="399"/>
      <c r="H8" s="574">
        <v>14600.622</v>
      </c>
      <c r="I8" s="399"/>
      <c r="J8" s="574">
        <v>13883.657</v>
      </c>
      <c r="K8" s="399"/>
      <c r="L8" s="574">
        <v>36098.8</v>
      </c>
      <c r="M8" s="399"/>
      <c r="N8" s="574">
        <v>12778.2</v>
      </c>
      <c r="O8" s="399"/>
      <c r="P8" s="574">
        <v>4238.1</v>
      </c>
      <c r="Q8" s="397"/>
      <c r="R8" s="177"/>
      <c r="S8" s="2"/>
    </row>
    <row r="9" spans="1:19" ht="19.5" customHeight="1">
      <c r="A9" s="42">
        <v>3</v>
      </c>
      <c r="B9" s="575">
        <v>21465.574</v>
      </c>
      <c r="C9" s="398">
        <f>ROUND((B9-B8)*120,0)</f>
        <v>53</v>
      </c>
      <c r="D9" s="575">
        <v>11739.238</v>
      </c>
      <c r="E9" s="398">
        <f>ROUND((D9-D8)*120,0)</f>
        <v>119</v>
      </c>
      <c r="F9" s="575">
        <v>2509.885</v>
      </c>
      <c r="G9" s="398">
        <f>ROUND((F9-F8)*200,0)</f>
        <v>0</v>
      </c>
      <c r="H9" s="575">
        <v>14600.845</v>
      </c>
      <c r="I9" s="398">
        <f>ROUND((H9-H8)*200,0)</f>
        <v>45</v>
      </c>
      <c r="J9" s="575">
        <v>13883.813</v>
      </c>
      <c r="K9" s="398">
        <f>ROUND((J9-J8)*60,0)</f>
        <v>9</v>
      </c>
      <c r="L9" s="575">
        <v>36098.8</v>
      </c>
      <c r="M9" s="398">
        <f>ROUND((L9-L8)*120,0)</f>
        <v>0</v>
      </c>
      <c r="N9" s="575">
        <v>12778.2</v>
      </c>
      <c r="O9" s="398">
        <f>ROUND((N9-N8)*30,0)</f>
        <v>0</v>
      </c>
      <c r="P9" s="575">
        <v>4238.1</v>
      </c>
      <c r="Q9" s="398">
        <f>ROUND((P9-P8)*30,0)</f>
        <v>0</v>
      </c>
      <c r="R9" s="213">
        <f>Q9+O9+M9+K9+I9+G9+E9+C9</f>
        <v>226</v>
      </c>
      <c r="S9" s="2"/>
    </row>
    <row r="10" spans="1:19" ht="19.5" customHeight="1">
      <c r="A10" s="42">
        <v>4</v>
      </c>
      <c r="B10" s="575">
        <v>21466.008</v>
      </c>
      <c r="C10" s="398">
        <f aca="true" t="shared" si="0" ref="C10:C32">ROUND((B10-B9)*120,0)</f>
        <v>52</v>
      </c>
      <c r="D10" s="575">
        <v>11740.227</v>
      </c>
      <c r="E10" s="398">
        <f aca="true" t="shared" si="1" ref="E10:E32">ROUND((D10-D9)*120,0)</f>
        <v>119</v>
      </c>
      <c r="F10" s="575">
        <v>2509.885</v>
      </c>
      <c r="G10" s="398">
        <f aca="true" t="shared" si="2" ref="G10:G32">ROUND((F10-F9)*200,0)</f>
        <v>0</v>
      </c>
      <c r="H10" s="575">
        <v>14601.061</v>
      </c>
      <c r="I10" s="398">
        <f aca="true" t="shared" si="3" ref="I10:I32">ROUND((H10-H9)*200,0)</f>
        <v>43</v>
      </c>
      <c r="J10" s="575">
        <v>13884</v>
      </c>
      <c r="K10" s="398">
        <f aca="true" t="shared" si="4" ref="K10:K32">ROUND((J10-J9)*60,0)</f>
        <v>11</v>
      </c>
      <c r="L10" s="575">
        <v>36098.9</v>
      </c>
      <c r="M10" s="398">
        <f aca="true" t="shared" si="5" ref="M10:M32">ROUND((L10-L9)*120,0)</f>
        <v>12</v>
      </c>
      <c r="N10" s="575">
        <v>12778.3</v>
      </c>
      <c r="O10" s="398">
        <f aca="true" t="shared" si="6" ref="O10:O32">ROUND((N10-N9)*30,0)</f>
        <v>3</v>
      </c>
      <c r="P10" s="575">
        <v>4238.1</v>
      </c>
      <c r="Q10" s="398">
        <f aca="true" t="shared" si="7" ref="Q10:Q32">ROUND((P10-P9)*30,0)</f>
        <v>0</v>
      </c>
      <c r="R10" s="213">
        <f aca="true" t="shared" si="8" ref="R10:R32">Q10+O10+M10+K10+I10+G10+E10+C10</f>
        <v>240</v>
      </c>
      <c r="S10" s="2"/>
    </row>
    <row r="11" spans="1:19" ht="19.5" customHeight="1">
      <c r="A11" s="42">
        <v>5</v>
      </c>
      <c r="B11" s="575">
        <v>21466.438</v>
      </c>
      <c r="C11" s="398">
        <f t="shared" si="0"/>
        <v>52</v>
      </c>
      <c r="D11" s="575">
        <v>11741.224</v>
      </c>
      <c r="E11" s="398">
        <f t="shared" si="1"/>
        <v>120</v>
      </c>
      <c r="F11" s="575">
        <v>2509.886</v>
      </c>
      <c r="G11" s="398">
        <f t="shared" si="2"/>
        <v>0</v>
      </c>
      <c r="H11" s="575">
        <v>14601.25</v>
      </c>
      <c r="I11" s="398">
        <f t="shared" si="3"/>
        <v>38</v>
      </c>
      <c r="J11" s="575">
        <v>13884.16</v>
      </c>
      <c r="K11" s="398">
        <f t="shared" si="4"/>
        <v>10</v>
      </c>
      <c r="L11" s="575">
        <v>36098.9</v>
      </c>
      <c r="M11" s="398">
        <f t="shared" si="5"/>
        <v>0</v>
      </c>
      <c r="N11" s="575">
        <v>12778.3</v>
      </c>
      <c r="O11" s="398">
        <f t="shared" si="6"/>
        <v>0</v>
      </c>
      <c r="P11" s="575">
        <v>4238.1</v>
      </c>
      <c r="Q11" s="398">
        <f t="shared" si="7"/>
        <v>0</v>
      </c>
      <c r="R11" s="213">
        <f t="shared" si="8"/>
        <v>220</v>
      </c>
      <c r="S11" s="2"/>
    </row>
    <row r="12" spans="1:19" ht="19.5" customHeight="1">
      <c r="A12" s="42">
        <v>6</v>
      </c>
      <c r="B12" s="575">
        <v>21466.938</v>
      </c>
      <c r="C12" s="398">
        <f t="shared" si="0"/>
        <v>60</v>
      </c>
      <c r="D12" s="575">
        <v>11742.286</v>
      </c>
      <c r="E12" s="398">
        <f t="shared" si="1"/>
        <v>127</v>
      </c>
      <c r="F12" s="575">
        <v>2509.887</v>
      </c>
      <c r="G12" s="398">
        <f t="shared" si="2"/>
        <v>0</v>
      </c>
      <c r="H12" s="575">
        <v>14601.506</v>
      </c>
      <c r="I12" s="398">
        <f t="shared" si="3"/>
        <v>51</v>
      </c>
      <c r="J12" s="575">
        <v>13884.3</v>
      </c>
      <c r="K12" s="398">
        <f t="shared" si="4"/>
        <v>8</v>
      </c>
      <c r="L12" s="575">
        <v>36099</v>
      </c>
      <c r="M12" s="398">
        <f t="shared" si="5"/>
        <v>12</v>
      </c>
      <c r="N12" s="575">
        <v>12778.3</v>
      </c>
      <c r="O12" s="398">
        <f t="shared" si="6"/>
        <v>0</v>
      </c>
      <c r="P12" s="575">
        <v>4238.1</v>
      </c>
      <c r="Q12" s="398">
        <f t="shared" si="7"/>
        <v>0</v>
      </c>
      <c r="R12" s="213">
        <f t="shared" si="8"/>
        <v>258</v>
      </c>
      <c r="S12" s="2"/>
    </row>
    <row r="13" spans="1:19" ht="19.5" customHeight="1">
      <c r="A13" s="42">
        <v>7</v>
      </c>
      <c r="B13" s="575">
        <v>21467.576</v>
      </c>
      <c r="C13" s="398">
        <f t="shared" si="0"/>
        <v>77</v>
      </c>
      <c r="D13" s="575">
        <v>11743.395</v>
      </c>
      <c r="E13" s="398">
        <f t="shared" si="1"/>
        <v>133</v>
      </c>
      <c r="F13" s="575">
        <v>2509.888</v>
      </c>
      <c r="G13" s="398">
        <f t="shared" si="2"/>
        <v>0</v>
      </c>
      <c r="H13" s="575">
        <v>14601.897</v>
      </c>
      <c r="I13" s="398">
        <f t="shared" si="3"/>
        <v>78</v>
      </c>
      <c r="J13" s="575">
        <v>13884.457</v>
      </c>
      <c r="K13" s="398">
        <f t="shared" si="4"/>
        <v>9</v>
      </c>
      <c r="L13" s="575">
        <v>36099.1</v>
      </c>
      <c r="M13" s="398">
        <f t="shared" si="5"/>
        <v>12</v>
      </c>
      <c r="N13" s="575">
        <v>12778.4</v>
      </c>
      <c r="O13" s="398">
        <f t="shared" si="6"/>
        <v>3</v>
      </c>
      <c r="P13" s="575">
        <v>4238.1</v>
      </c>
      <c r="Q13" s="398">
        <f t="shared" si="7"/>
        <v>0</v>
      </c>
      <c r="R13" s="213">
        <f t="shared" si="8"/>
        <v>312</v>
      </c>
      <c r="S13" s="2"/>
    </row>
    <row r="14" spans="1:19" ht="19.5" customHeight="1">
      <c r="A14" s="42">
        <v>8</v>
      </c>
      <c r="B14" s="575">
        <v>21468.471</v>
      </c>
      <c r="C14" s="398">
        <f t="shared" si="0"/>
        <v>107</v>
      </c>
      <c r="D14" s="575">
        <v>11744.372</v>
      </c>
      <c r="E14" s="398">
        <f t="shared" si="1"/>
        <v>117</v>
      </c>
      <c r="F14" s="575">
        <v>2509.894</v>
      </c>
      <c r="G14" s="398">
        <f t="shared" si="2"/>
        <v>1</v>
      </c>
      <c r="H14" s="575">
        <v>14602.335</v>
      </c>
      <c r="I14" s="398">
        <f t="shared" si="3"/>
        <v>88</v>
      </c>
      <c r="J14" s="575">
        <v>13884.641</v>
      </c>
      <c r="K14" s="398">
        <f t="shared" si="4"/>
        <v>11</v>
      </c>
      <c r="L14" s="575">
        <v>36099.2</v>
      </c>
      <c r="M14" s="398">
        <f t="shared" si="5"/>
        <v>12</v>
      </c>
      <c r="N14" s="575">
        <v>12778.4</v>
      </c>
      <c r="O14" s="398">
        <f t="shared" si="6"/>
        <v>0</v>
      </c>
      <c r="P14" s="575">
        <v>4238.1</v>
      </c>
      <c r="Q14" s="398">
        <f t="shared" si="7"/>
        <v>0</v>
      </c>
      <c r="R14" s="213">
        <f t="shared" si="8"/>
        <v>336</v>
      </c>
      <c r="S14" s="2"/>
    </row>
    <row r="15" spans="1:19" ht="19.5" customHeight="1">
      <c r="A15" s="42">
        <v>9</v>
      </c>
      <c r="B15" s="575">
        <v>21469.434</v>
      </c>
      <c r="C15" s="398">
        <f t="shared" si="0"/>
        <v>116</v>
      </c>
      <c r="D15" s="575">
        <v>11745.443</v>
      </c>
      <c r="E15" s="398">
        <f t="shared" si="1"/>
        <v>129</v>
      </c>
      <c r="F15" s="575">
        <v>2509.899</v>
      </c>
      <c r="G15" s="398">
        <f t="shared" si="2"/>
        <v>1</v>
      </c>
      <c r="H15" s="575">
        <v>14602.759</v>
      </c>
      <c r="I15" s="398">
        <f t="shared" si="3"/>
        <v>85</v>
      </c>
      <c r="J15" s="575">
        <v>13884.822</v>
      </c>
      <c r="K15" s="398">
        <f t="shared" si="4"/>
        <v>11</v>
      </c>
      <c r="L15" s="575">
        <v>36099.2</v>
      </c>
      <c r="M15" s="398">
        <f t="shared" si="5"/>
        <v>0</v>
      </c>
      <c r="N15" s="575">
        <v>12778.5</v>
      </c>
      <c r="O15" s="398">
        <f t="shared" si="6"/>
        <v>3</v>
      </c>
      <c r="P15" s="575">
        <v>4238.1</v>
      </c>
      <c r="Q15" s="398">
        <f t="shared" si="7"/>
        <v>0</v>
      </c>
      <c r="R15" s="213">
        <f t="shared" si="8"/>
        <v>345</v>
      </c>
      <c r="S15" s="2"/>
    </row>
    <row r="16" spans="1:19" ht="19.5" customHeight="1">
      <c r="A16" s="42">
        <v>10</v>
      </c>
      <c r="B16" s="575">
        <v>21470.25</v>
      </c>
      <c r="C16" s="398">
        <f t="shared" si="0"/>
        <v>98</v>
      </c>
      <c r="D16" s="575">
        <v>11746.407</v>
      </c>
      <c r="E16" s="398">
        <f t="shared" si="1"/>
        <v>116</v>
      </c>
      <c r="F16" s="575">
        <v>2509.924</v>
      </c>
      <c r="G16" s="398">
        <f t="shared" si="2"/>
        <v>5</v>
      </c>
      <c r="H16" s="575">
        <v>14603.294</v>
      </c>
      <c r="I16" s="398">
        <f t="shared" si="3"/>
        <v>107</v>
      </c>
      <c r="J16" s="575">
        <v>13885.011</v>
      </c>
      <c r="K16" s="398">
        <f t="shared" si="4"/>
        <v>11</v>
      </c>
      <c r="L16" s="575">
        <v>36099.3</v>
      </c>
      <c r="M16" s="398">
        <f t="shared" si="5"/>
        <v>12</v>
      </c>
      <c r="N16" s="575">
        <v>12778.5</v>
      </c>
      <c r="O16" s="398">
        <f t="shared" si="6"/>
        <v>0</v>
      </c>
      <c r="P16" s="575">
        <v>4238.1</v>
      </c>
      <c r="Q16" s="398">
        <f t="shared" si="7"/>
        <v>0</v>
      </c>
      <c r="R16" s="213">
        <f t="shared" si="8"/>
        <v>349</v>
      </c>
      <c r="S16" s="2"/>
    </row>
    <row r="17" spans="1:19" ht="19.5" customHeight="1">
      <c r="A17" s="42">
        <v>11</v>
      </c>
      <c r="B17" s="575">
        <v>21471.104</v>
      </c>
      <c r="C17" s="398">
        <f t="shared" si="0"/>
        <v>102</v>
      </c>
      <c r="D17" s="575">
        <v>11747.446</v>
      </c>
      <c r="E17" s="398">
        <f t="shared" si="1"/>
        <v>125</v>
      </c>
      <c r="F17" s="575">
        <v>2509.957</v>
      </c>
      <c r="G17" s="398">
        <f t="shared" si="2"/>
        <v>7</v>
      </c>
      <c r="H17" s="575">
        <v>14603.854</v>
      </c>
      <c r="I17" s="398">
        <f t="shared" si="3"/>
        <v>112</v>
      </c>
      <c r="J17" s="575">
        <v>13885.175</v>
      </c>
      <c r="K17" s="398">
        <f t="shared" si="4"/>
        <v>10</v>
      </c>
      <c r="L17" s="575">
        <v>36099.3</v>
      </c>
      <c r="M17" s="398">
        <f t="shared" si="5"/>
        <v>0</v>
      </c>
      <c r="N17" s="575">
        <v>12778.6</v>
      </c>
      <c r="O17" s="398">
        <f t="shared" si="6"/>
        <v>3</v>
      </c>
      <c r="P17" s="575">
        <v>4238.1</v>
      </c>
      <c r="Q17" s="398">
        <f t="shared" si="7"/>
        <v>0</v>
      </c>
      <c r="R17" s="213">
        <f t="shared" si="8"/>
        <v>359</v>
      </c>
      <c r="S17" s="2"/>
    </row>
    <row r="18" spans="1:19" ht="19.5" customHeight="1">
      <c r="A18" s="42">
        <v>12</v>
      </c>
      <c r="B18" s="575">
        <v>21471.904</v>
      </c>
      <c r="C18" s="398">
        <f t="shared" si="0"/>
        <v>96</v>
      </c>
      <c r="D18" s="575">
        <v>11748.383</v>
      </c>
      <c r="E18" s="398">
        <f t="shared" si="1"/>
        <v>112</v>
      </c>
      <c r="F18" s="575">
        <v>2509.99</v>
      </c>
      <c r="G18" s="398">
        <f t="shared" si="2"/>
        <v>7</v>
      </c>
      <c r="H18" s="575">
        <v>14604.359</v>
      </c>
      <c r="I18" s="398">
        <f t="shared" si="3"/>
        <v>101</v>
      </c>
      <c r="J18" s="575">
        <v>13885.345</v>
      </c>
      <c r="K18" s="398">
        <f t="shared" si="4"/>
        <v>10</v>
      </c>
      <c r="L18" s="575">
        <v>36099.4</v>
      </c>
      <c r="M18" s="398">
        <f t="shared" si="5"/>
        <v>12</v>
      </c>
      <c r="N18" s="575">
        <v>12778.6</v>
      </c>
      <c r="O18" s="398">
        <f t="shared" si="6"/>
        <v>0</v>
      </c>
      <c r="P18" s="575">
        <v>4238.1</v>
      </c>
      <c r="Q18" s="398">
        <f t="shared" si="7"/>
        <v>0</v>
      </c>
      <c r="R18" s="213">
        <f t="shared" si="8"/>
        <v>338</v>
      </c>
      <c r="S18" s="2"/>
    </row>
    <row r="19" spans="1:19" ht="19.5" customHeight="1">
      <c r="A19" s="42">
        <v>13</v>
      </c>
      <c r="B19" s="575">
        <v>21472.594</v>
      </c>
      <c r="C19" s="398">
        <f t="shared" si="0"/>
        <v>83</v>
      </c>
      <c r="D19" s="575">
        <v>11749.353</v>
      </c>
      <c r="E19" s="398">
        <f t="shared" si="1"/>
        <v>116</v>
      </c>
      <c r="F19" s="575">
        <v>2510.021</v>
      </c>
      <c r="G19" s="398">
        <f t="shared" si="2"/>
        <v>6</v>
      </c>
      <c r="H19" s="575">
        <v>14604.849</v>
      </c>
      <c r="I19" s="398">
        <f t="shared" si="3"/>
        <v>98</v>
      </c>
      <c r="J19" s="575">
        <v>13885.566</v>
      </c>
      <c r="K19" s="398">
        <f t="shared" si="4"/>
        <v>13</v>
      </c>
      <c r="L19" s="575">
        <v>36099.4</v>
      </c>
      <c r="M19" s="398">
        <f t="shared" si="5"/>
        <v>0</v>
      </c>
      <c r="N19" s="575">
        <v>12778.7</v>
      </c>
      <c r="O19" s="398">
        <f t="shared" si="6"/>
        <v>3</v>
      </c>
      <c r="P19" s="575">
        <v>4238.1</v>
      </c>
      <c r="Q19" s="398">
        <f t="shared" si="7"/>
        <v>0</v>
      </c>
      <c r="R19" s="213">
        <f t="shared" si="8"/>
        <v>319</v>
      </c>
      <c r="S19" s="2"/>
    </row>
    <row r="20" spans="1:19" ht="19.5" customHeight="1">
      <c r="A20" s="42">
        <v>14</v>
      </c>
      <c r="B20" s="575">
        <v>21473.34</v>
      </c>
      <c r="C20" s="398">
        <f t="shared" si="0"/>
        <v>90</v>
      </c>
      <c r="D20" s="575">
        <v>11750.329</v>
      </c>
      <c r="E20" s="398">
        <f t="shared" si="1"/>
        <v>117</v>
      </c>
      <c r="F20" s="575">
        <v>2510.045</v>
      </c>
      <c r="G20" s="398">
        <f t="shared" si="2"/>
        <v>5</v>
      </c>
      <c r="H20" s="575">
        <v>14605.087</v>
      </c>
      <c r="I20" s="398">
        <f t="shared" si="3"/>
        <v>48</v>
      </c>
      <c r="J20" s="575">
        <v>13885.782</v>
      </c>
      <c r="K20" s="398">
        <f t="shared" si="4"/>
        <v>13</v>
      </c>
      <c r="L20" s="575">
        <v>36099.5</v>
      </c>
      <c r="M20" s="398">
        <f t="shared" si="5"/>
        <v>12</v>
      </c>
      <c r="N20" s="575">
        <v>12778.7</v>
      </c>
      <c r="O20" s="398">
        <f t="shared" si="6"/>
        <v>0</v>
      </c>
      <c r="P20" s="575">
        <v>4238.1</v>
      </c>
      <c r="Q20" s="398">
        <f t="shared" si="7"/>
        <v>0</v>
      </c>
      <c r="R20" s="213">
        <f t="shared" si="8"/>
        <v>285</v>
      </c>
      <c r="S20" s="2"/>
    </row>
    <row r="21" spans="1:19" ht="19.5" customHeight="1">
      <c r="A21" s="42">
        <v>15</v>
      </c>
      <c r="B21" s="575">
        <v>21474</v>
      </c>
      <c r="C21" s="398">
        <f t="shared" si="0"/>
        <v>79</v>
      </c>
      <c r="D21" s="575">
        <v>11751.319</v>
      </c>
      <c r="E21" s="398">
        <f t="shared" si="1"/>
        <v>119</v>
      </c>
      <c r="F21" s="575">
        <v>2510.076</v>
      </c>
      <c r="G21" s="398">
        <f t="shared" si="2"/>
        <v>6</v>
      </c>
      <c r="H21" s="575">
        <v>14605.288</v>
      </c>
      <c r="I21" s="398">
        <f t="shared" si="3"/>
        <v>40</v>
      </c>
      <c r="J21" s="575">
        <v>13886.001</v>
      </c>
      <c r="K21" s="398">
        <f t="shared" si="4"/>
        <v>13</v>
      </c>
      <c r="L21" s="575">
        <v>36099.5</v>
      </c>
      <c r="M21" s="398">
        <f t="shared" si="5"/>
        <v>0</v>
      </c>
      <c r="N21" s="575">
        <v>12778.8</v>
      </c>
      <c r="O21" s="398">
        <f t="shared" si="6"/>
        <v>3</v>
      </c>
      <c r="P21" s="575">
        <v>4238.1</v>
      </c>
      <c r="Q21" s="398">
        <f t="shared" si="7"/>
        <v>0</v>
      </c>
      <c r="R21" s="213">
        <f t="shared" si="8"/>
        <v>260</v>
      </c>
      <c r="S21" s="2"/>
    </row>
    <row r="22" spans="1:19" ht="19.5" customHeight="1">
      <c r="A22" s="42">
        <v>16</v>
      </c>
      <c r="B22" s="575">
        <v>21474.611</v>
      </c>
      <c r="C22" s="398">
        <f t="shared" si="0"/>
        <v>73</v>
      </c>
      <c r="D22" s="575">
        <v>11752.324</v>
      </c>
      <c r="E22" s="398">
        <f t="shared" si="1"/>
        <v>121</v>
      </c>
      <c r="F22" s="575">
        <v>2510.102</v>
      </c>
      <c r="G22" s="398">
        <f t="shared" si="2"/>
        <v>5</v>
      </c>
      <c r="H22" s="575">
        <v>14605.464</v>
      </c>
      <c r="I22" s="398">
        <f t="shared" si="3"/>
        <v>35</v>
      </c>
      <c r="J22" s="575">
        <v>13886.177</v>
      </c>
      <c r="K22" s="398">
        <f t="shared" si="4"/>
        <v>11</v>
      </c>
      <c r="L22" s="575">
        <v>36099.6</v>
      </c>
      <c r="M22" s="398">
        <f t="shared" si="5"/>
        <v>12</v>
      </c>
      <c r="N22" s="575">
        <v>12778.9</v>
      </c>
      <c r="O22" s="398">
        <f t="shared" si="6"/>
        <v>3</v>
      </c>
      <c r="P22" s="575">
        <v>4238.1</v>
      </c>
      <c r="Q22" s="398">
        <f t="shared" si="7"/>
        <v>0</v>
      </c>
      <c r="R22" s="213">
        <f t="shared" si="8"/>
        <v>260</v>
      </c>
      <c r="S22" s="2"/>
    </row>
    <row r="23" spans="1:19" ht="19.5" customHeight="1">
      <c r="A23" s="42">
        <v>17</v>
      </c>
      <c r="B23" s="575">
        <v>21475.256</v>
      </c>
      <c r="C23" s="398">
        <f t="shared" si="0"/>
        <v>77</v>
      </c>
      <c r="D23" s="575">
        <v>11753.302</v>
      </c>
      <c r="E23" s="398">
        <f t="shared" si="1"/>
        <v>117</v>
      </c>
      <c r="F23" s="575">
        <v>2510.127</v>
      </c>
      <c r="G23" s="398">
        <f t="shared" si="2"/>
        <v>5</v>
      </c>
      <c r="H23" s="575">
        <v>14605.646</v>
      </c>
      <c r="I23" s="398">
        <f t="shared" si="3"/>
        <v>36</v>
      </c>
      <c r="J23" s="575">
        <v>13886.326</v>
      </c>
      <c r="K23" s="398">
        <f t="shared" si="4"/>
        <v>9</v>
      </c>
      <c r="L23" s="575">
        <v>36099.7</v>
      </c>
      <c r="M23" s="398">
        <f t="shared" si="5"/>
        <v>12</v>
      </c>
      <c r="N23" s="575">
        <v>12778.9</v>
      </c>
      <c r="O23" s="398">
        <f t="shared" si="6"/>
        <v>0</v>
      </c>
      <c r="P23" s="575">
        <v>4238.1</v>
      </c>
      <c r="Q23" s="398">
        <f t="shared" si="7"/>
        <v>0</v>
      </c>
      <c r="R23" s="213">
        <f t="shared" si="8"/>
        <v>256</v>
      </c>
      <c r="S23" s="2"/>
    </row>
    <row r="24" spans="1:19" ht="19.5" customHeight="1">
      <c r="A24" s="42">
        <v>18</v>
      </c>
      <c r="B24" s="575">
        <v>21475.941</v>
      </c>
      <c r="C24" s="398">
        <f t="shared" si="0"/>
        <v>82</v>
      </c>
      <c r="D24" s="575">
        <v>11754.298</v>
      </c>
      <c r="E24" s="398">
        <f t="shared" si="1"/>
        <v>120</v>
      </c>
      <c r="F24" s="575">
        <v>2510.16</v>
      </c>
      <c r="G24" s="398">
        <f t="shared" si="2"/>
        <v>7</v>
      </c>
      <c r="H24" s="575">
        <v>14605.848</v>
      </c>
      <c r="I24" s="398">
        <f t="shared" si="3"/>
        <v>40</v>
      </c>
      <c r="J24" s="575">
        <v>13886.489</v>
      </c>
      <c r="K24" s="398">
        <f t="shared" si="4"/>
        <v>10</v>
      </c>
      <c r="L24" s="575">
        <v>36099.8</v>
      </c>
      <c r="M24" s="398">
        <f t="shared" si="5"/>
        <v>12</v>
      </c>
      <c r="N24" s="575">
        <v>12779</v>
      </c>
      <c r="O24" s="398">
        <f t="shared" si="6"/>
        <v>3</v>
      </c>
      <c r="P24" s="575">
        <v>4238.1</v>
      </c>
      <c r="Q24" s="398">
        <f t="shared" si="7"/>
        <v>0</v>
      </c>
      <c r="R24" s="213">
        <f t="shared" si="8"/>
        <v>274</v>
      </c>
      <c r="S24" s="2"/>
    </row>
    <row r="25" spans="1:19" ht="19.5" customHeight="1">
      <c r="A25" s="42">
        <v>19</v>
      </c>
      <c r="B25" s="575">
        <v>21476.654</v>
      </c>
      <c r="C25" s="398">
        <f t="shared" si="0"/>
        <v>86</v>
      </c>
      <c r="D25" s="575">
        <v>11755.332</v>
      </c>
      <c r="E25" s="398">
        <f t="shared" si="1"/>
        <v>124</v>
      </c>
      <c r="F25" s="575">
        <v>2510.187</v>
      </c>
      <c r="G25" s="398">
        <f t="shared" si="2"/>
        <v>5</v>
      </c>
      <c r="H25" s="575">
        <v>14606.065</v>
      </c>
      <c r="I25" s="398">
        <f t="shared" si="3"/>
        <v>43</v>
      </c>
      <c r="J25" s="575">
        <v>13886.669</v>
      </c>
      <c r="K25" s="398">
        <f t="shared" si="4"/>
        <v>11</v>
      </c>
      <c r="L25" s="575">
        <v>36099.9</v>
      </c>
      <c r="M25" s="398">
        <f t="shared" si="5"/>
        <v>12</v>
      </c>
      <c r="N25" s="575">
        <v>12779.1</v>
      </c>
      <c r="O25" s="398">
        <f t="shared" si="6"/>
        <v>3</v>
      </c>
      <c r="P25" s="575">
        <v>4238.1</v>
      </c>
      <c r="Q25" s="398">
        <f t="shared" si="7"/>
        <v>0</v>
      </c>
      <c r="R25" s="213">
        <f t="shared" si="8"/>
        <v>284</v>
      </c>
      <c r="S25" s="2"/>
    </row>
    <row r="26" spans="1:19" ht="19.5" customHeight="1">
      <c r="A26" s="42">
        <v>20</v>
      </c>
      <c r="B26" s="575">
        <v>21477.352</v>
      </c>
      <c r="C26" s="398">
        <f t="shared" si="0"/>
        <v>84</v>
      </c>
      <c r="D26" s="575">
        <v>11756.398</v>
      </c>
      <c r="E26" s="398">
        <f t="shared" si="1"/>
        <v>128</v>
      </c>
      <c r="F26" s="575">
        <v>2510.201</v>
      </c>
      <c r="G26" s="398">
        <f t="shared" si="2"/>
        <v>3</v>
      </c>
      <c r="H26" s="575">
        <v>14606.268</v>
      </c>
      <c r="I26" s="398">
        <f t="shared" si="3"/>
        <v>41</v>
      </c>
      <c r="J26" s="575">
        <v>13886.872</v>
      </c>
      <c r="K26" s="398">
        <f t="shared" si="4"/>
        <v>12</v>
      </c>
      <c r="L26" s="575">
        <v>36099.9</v>
      </c>
      <c r="M26" s="398">
        <f t="shared" si="5"/>
        <v>0</v>
      </c>
      <c r="N26" s="575">
        <v>12779.2</v>
      </c>
      <c r="O26" s="398">
        <f t="shared" si="6"/>
        <v>3</v>
      </c>
      <c r="P26" s="575">
        <v>4238.1</v>
      </c>
      <c r="Q26" s="398">
        <f t="shared" si="7"/>
        <v>0</v>
      </c>
      <c r="R26" s="213">
        <f t="shared" si="8"/>
        <v>271</v>
      </c>
      <c r="S26" s="2"/>
    </row>
    <row r="27" spans="1:19" ht="19.5" customHeight="1">
      <c r="A27" s="42">
        <v>21</v>
      </c>
      <c r="B27" s="575">
        <v>21478.135</v>
      </c>
      <c r="C27" s="398">
        <f t="shared" si="0"/>
        <v>94</v>
      </c>
      <c r="D27" s="575">
        <v>11757.418</v>
      </c>
      <c r="E27" s="398">
        <f t="shared" si="1"/>
        <v>122</v>
      </c>
      <c r="F27" s="575">
        <v>2510.223</v>
      </c>
      <c r="G27" s="398">
        <f t="shared" si="2"/>
        <v>4</v>
      </c>
      <c r="H27" s="575">
        <v>14606.534</v>
      </c>
      <c r="I27" s="398">
        <f t="shared" si="3"/>
        <v>53</v>
      </c>
      <c r="J27" s="575">
        <v>13887.046</v>
      </c>
      <c r="K27" s="398">
        <f t="shared" si="4"/>
        <v>10</v>
      </c>
      <c r="L27" s="575">
        <v>36100</v>
      </c>
      <c r="M27" s="398">
        <f t="shared" si="5"/>
        <v>12</v>
      </c>
      <c r="N27" s="575">
        <v>12779.2</v>
      </c>
      <c r="O27" s="398">
        <f t="shared" si="6"/>
        <v>0</v>
      </c>
      <c r="P27" s="575">
        <v>4238.1</v>
      </c>
      <c r="Q27" s="398">
        <f t="shared" si="7"/>
        <v>0</v>
      </c>
      <c r="R27" s="213">
        <f t="shared" si="8"/>
        <v>295</v>
      </c>
      <c r="S27" s="2"/>
    </row>
    <row r="28" spans="1:19" ht="19.5" customHeight="1">
      <c r="A28" s="42">
        <v>22</v>
      </c>
      <c r="B28" s="575">
        <v>21479.059</v>
      </c>
      <c r="C28" s="398">
        <f t="shared" si="0"/>
        <v>111</v>
      </c>
      <c r="D28" s="575">
        <v>11758.49</v>
      </c>
      <c r="E28" s="398">
        <f t="shared" si="1"/>
        <v>129</v>
      </c>
      <c r="F28" s="575">
        <v>2510.248</v>
      </c>
      <c r="G28" s="398">
        <f t="shared" si="2"/>
        <v>5</v>
      </c>
      <c r="H28" s="575">
        <v>14606.817</v>
      </c>
      <c r="I28" s="398">
        <f t="shared" si="3"/>
        <v>57</v>
      </c>
      <c r="J28" s="575">
        <v>13887.391</v>
      </c>
      <c r="K28" s="398">
        <f t="shared" si="4"/>
        <v>21</v>
      </c>
      <c r="L28" s="575">
        <v>36100</v>
      </c>
      <c r="M28" s="398">
        <f t="shared" si="5"/>
        <v>0</v>
      </c>
      <c r="N28" s="575">
        <v>12779.3</v>
      </c>
      <c r="O28" s="398">
        <f t="shared" si="6"/>
        <v>3</v>
      </c>
      <c r="P28" s="575">
        <v>4238.1</v>
      </c>
      <c r="Q28" s="398">
        <f t="shared" si="7"/>
        <v>0</v>
      </c>
      <c r="R28" s="213">
        <f t="shared" si="8"/>
        <v>326</v>
      </c>
      <c r="S28" s="2"/>
    </row>
    <row r="29" spans="1:19" ht="19.5" customHeight="1">
      <c r="A29" s="42">
        <v>23</v>
      </c>
      <c r="B29" s="575">
        <v>21479.988</v>
      </c>
      <c r="C29" s="398">
        <f t="shared" si="0"/>
        <v>111</v>
      </c>
      <c r="D29" s="575">
        <v>11759.426</v>
      </c>
      <c r="E29" s="398">
        <f t="shared" si="1"/>
        <v>112</v>
      </c>
      <c r="F29" s="575">
        <v>2510.269</v>
      </c>
      <c r="G29" s="398">
        <f t="shared" si="2"/>
        <v>4</v>
      </c>
      <c r="H29" s="575">
        <v>14607.077</v>
      </c>
      <c r="I29" s="398">
        <f t="shared" si="3"/>
        <v>52</v>
      </c>
      <c r="J29" s="575">
        <v>13887.782</v>
      </c>
      <c r="K29" s="398">
        <f t="shared" si="4"/>
        <v>23</v>
      </c>
      <c r="L29" s="575">
        <v>36100</v>
      </c>
      <c r="M29" s="398">
        <f t="shared" si="5"/>
        <v>0</v>
      </c>
      <c r="N29" s="575">
        <v>12779.3</v>
      </c>
      <c r="O29" s="398">
        <f t="shared" si="6"/>
        <v>0</v>
      </c>
      <c r="P29" s="575">
        <v>4238.1</v>
      </c>
      <c r="Q29" s="398">
        <f t="shared" si="7"/>
        <v>0</v>
      </c>
      <c r="R29" s="213">
        <f t="shared" si="8"/>
        <v>302</v>
      </c>
      <c r="S29" s="2"/>
    </row>
    <row r="30" spans="1:19" ht="19.5" customHeight="1">
      <c r="A30" s="42">
        <v>24</v>
      </c>
      <c r="B30" s="575">
        <v>21480.811</v>
      </c>
      <c r="C30" s="398">
        <f t="shared" si="0"/>
        <v>99</v>
      </c>
      <c r="D30" s="575">
        <v>11760.369</v>
      </c>
      <c r="E30" s="398">
        <f t="shared" si="1"/>
        <v>113</v>
      </c>
      <c r="F30" s="575">
        <v>2510.274</v>
      </c>
      <c r="G30" s="398">
        <f t="shared" si="2"/>
        <v>1</v>
      </c>
      <c r="H30" s="575">
        <v>14607.358</v>
      </c>
      <c r="I30" s="398">
        <f t="shared" si="3"/>
        <v>56</v>
      </c>
      <c r="J30" s="575">
        <v>13888.116</v>
      </c>
      <c r="K30" s="398">
        <f t="shared" si="4"/>
        <v>20</v>
      </c>
      <c r="L30" s="575">
        <v>36100.1</v>
      </c>
      <c r="M30" s="398">
        <f t="shared" si="5"/>
        <v>12</v>
      </c>
      <c r="N30" s="575">
        <v>12779.4</v>
      </c>
      <c r="O30" s="398">
        <f t="shared" si="6"/>
        <v>3</v>
      </c>
      <c r="P30" s="575">
        <v>4238.1</v>
      </c>
      <c r="Q30" s="398">
        <f t="shared" si="7"/>
        <v>0</v>
      </c>
      <c r="R30" s="213">
        <f t="shared" si="8"/>
        <v>304</v>
      </c>
      <c r="S30" s="2"/>
    </row>
    <row r="31" spans="1:19" ht="19.5" customHeight="1">
      <c r="A31" s="42">
        <v>1</v>
      </c>
      <c r="B31" s="575">
        <v>21481.35</v>
      </c>
      <c r="C31" s="398">
        <f t="shared" si="0"/>
        <v>65</v>
      </c>
      <c r="D31" s="575">
        <v>11761.298</v>
      </c>
      <c r="E31" s="398">
        <f t="shared" si="1"/>
        <v>111</v>
      </c>
      <c r="F31" s="575">
        <v>2510.28</v>
      </c>
      <c r="G31" s="398">
        <f t="shared" si="2"/>
        <v>1</v>
      </c>
      <c r="H31" s="575">
        <v>14607.589</v>
      </c>
      <c r="I31" s="398">
        <f t="shared" si="3"/>
        <v>46</v>
      </c>
      <c r="J31" s="575">
        <v>13888.437</v>
      </c>
      <c r="K31" s="398">
        <f t="shared" si="4"/>
        <v>19</v>
      </c>
      <c r="L31" s="575">
        <v>36100.1</v>
      </c>
      <c r="M31" s="398">
        <f t="shared" si="5"/>
        <v>0</v>
      </c>
      <c r="N31" s="575">
        <v>12779.4</v>
      </c>
      <c r="O31" s="398">
        <f t="shared" si="6"/>
        <v>0</v>
      </c>
      <c r="P31" s="575">
        <v>4238.1</v>
      </c>
      <c r="Q31" s="398">
        <f t="shared" si="7"/>
        <v>0</v>
      </c>
      <c r="R31" s="213">
        <f t="shared" si="8"/>
        <v>242</v>
      </c>
      <c r="S31" s="2"/>
    </row>
    <row r="32" spans="1:19" ht="19.5" customHeight="1" thickBot="1">
      <c r="A32" s="214">
        <v>2</v>
      </c>
      <c r="B32" s="575">
        <v>21481.771</v>
      </c>
      <c r="C32" s="398">
        <f t="shared" si="0"/>
        <v>51</v>
      </c>
      <c r="D32" s="578">
        <v>11762.243</v>
      </c>
      <c r="E32" s="398">
        <f t="shared" si="1"/>
        <v>113</v>
      </c>
      <c r="F32" s="578">
        <v>2510.28</v>
      </c>
      <c r="G32" s="398">
        <f t="shared" si="2"/>
        <v>0</v>
      </c>
      <c r="H32" s="565">
        <v>14607.821</v>
      </c>
      <c r="I32" s="398">
        <f t="shared" si="3"/>
        <v>46</v>
      </c>
      <c r="J32" s="578">
        <v>13888.739</v>
      </c>
      <c r="K32" s="398">
        <f t="shared" si="4"/>
        <v>18</v>
      </c>
      <c r="L32" s="578">
        <v>36100.1</v>
      </c>
      <c r="M32" s="398">
        <f t="shared" si="5"/>
        <v>0</v>
      </c>
      <c r="N32" s="578">
        <v>12779.5</v>
      </c>
      <c r="O32" s="398">
        <f t="shared" si="6"/>
        <v>3</v>
      </c>
      <c r="P32" s="578">
        <v>4238.1</v>
      </c>
      <c r="Q32" s="398">
        <f t="shared" si="7"/>
        <v>0</v>
      </c>
      <c r="R32" s="213">
        <f t="shared" si="8"/>
        <v>231</v>
      </c>
      <c r="S32" s="2"/>
    </row>
    <row r="33" spans="1:19" ht="20.25" thickBot="1">
      <c r="A33" s="662" t="s">
        <v>42</v>
      </c>
      <c r="B33" s="677"/>
      <c r="C33" s="203">
        <f>SUM(C9:C32)</f>
        <v>1998</v>
      </c>
      <c r="D33" s="394"/>
      <c r="E33" s="203">
        <f>SUM(E9:E32)</f>
        <v>2879</v>
      </c>
      <c r="F33" s="394"/>
      <c r="G33" s="203">
        <f>SUM(G9:G32)</f>
        <v>78</v>
      </c>
      <c r="H33" s="394"/>
      <c r="I33" s="203">
        <f>SUM(I9:I32)</f>
        <v>1439</v>
      </c>
      <c r="J33" s="394"/>
      <c r="K33" s="203">
        <f>SUM(K9:K32)</f>
        <v>303</v>
      </c>
      <c r="L33" s="394"/>
      <c r="M33" s="203">
        <f>SUM(M9:M32)</f>
        <v>156</v>
      </c>
      <c r="N33" s="394"/>
      <c r="O33" s="203">
        <f>SUM(O9:O32)</f>
        <v>39</v>
      </c>
      <c r="P33" s="394"/>
      <c r="Q33" s="203">
        <f>SUM(Q9:Q32)</f>
        <v>0</v>
      </c>
      <c r="R33" s="215">
        <f>SUM(R9:R32)</f>
        <v>6892</v>
      </c>
      <c r="S33" s="2"/>
    </row>
    <row r="34" spans="1:90" s="2" customFormat="1" ht="24.75" customHeight="1">
      <c r="A34" s="108" t="s">
        <v>50</v>
      </c>
      <c r="C34" s="127">
        <f>SUM(C9:C32)/24</f>
        <v>83.25</v>
      </c>
      <c r="D34" s="140"/>
      <c r="E34" s="127">
        <f>SUM(E9:E32)/24</f>
        <v>119.95833333333333</v>
      </c>
      <c r="F34" s="140"/>
      <c r="G34" s="127">
        <f>SUM(G9:G32)/24</f>
        <v>3.25</v>
      </c>
      <c r="H34" s="140"/>
      <c r="I34" s="127">
        <f>SUM(I9:I32)/24</f>
        <v>59.958333333333336</v>
      </c>
      <c r="J34" s="140"/>
      <c r="K34" s="127">
        <f>SUM(K9:K32)/24</f>
        <v>12.625</v>
      </c>
      <c r="L34" s="140"/>
      <c r="M34" s="127">
        <f>SUM(M9:M32)/24</f>
        <v>6.5</v>
      </c>
      <c r="N34" s="140"/>
      <c r="O34" s="127">
        <f>SUM(O9:O32)/24</f>
        <v>1.625</v>
      </c>
      <c r="P34" s="126"/>
      <c r="Q34" s="127">
        <f>SUM(Q9:Q32)/24</f>
        <v>0</v>
      </c>
      <c r="R34" s="127">
        <f>SUM(R9:R32)/24</f>
        <v>287.1666666666667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</row>
    <row r="35" spans="1:20" s="2" customFormat="1" ht="15.75">
      <c r="A35" s="108" t="s">
        <v>51</v>
      </c>
      <c r="C35" s="127">
        <f>MAX(C9:C32)</f>
        <v>116</v>
      </c>
      <c r="D35" s="193"/>
      <c r="E35" s="127">
        <f>MAX(E9:E32)</f>
        <v>133</v>
      </c>
      <c r="F35" s="193"/>
      <c r="G35" s="127">
        <f>MAX(G9:G32)</f>
        <v>7</v>
      </c>
      <c r="H35" s="193"/>
      <c r="I35" s="127">
        <f>MAX(I9:I32)</f>
        <v>112</v>
      </c>
      <c r="J35" s="193"/>
      <c r="K35" s="127">
        <f>MAX(K9:K32)</f>
        <v>23</v>
      </c>
      <c r="L35" s="193"/>
      <c r="M35" s="127">
        <f>MAX(M9:M32)</f>
        <v>12</v>
      </c>
      <c r="N35" s="193"/>
      <c r="O35" s="127">
        <f>MAX(O9:O32)</f>
        <v>3</v>
      </c>
      <c r="P35" s="194"/>
      <c r="Q35" s="127">
        <f>MAX(Q9:Q32)</f>
        <v>0</v>
      </c>
      <c r="R35" s="127">
        <f>MAX(R9:R32)</f>
        <v>359</v>
      </c>
      <c r="T35"/>
    </row>
    <row r="36" spans="1:20" s="2" customFormat="1" ht="15.75">
      <c r="A36" s="110" t="s">
        <v>54</v>
      </c>
      <c r="C36" s="128">
        <f>C34/C35</f>
        <v>0.7176724137931034</v>
      </c>
      <c r="D36" s="193"/>
      <c r="E36" s="128">
        <f>E34/E35</f>
        <v>0.9019423558897243</v>
      </c>
      <c r="F36" s="193"/>
      <c r="G36" s="128">
        <f>G34/G35</f>
        <v>0.4642857142857143</v>
      </c>
      <c r="H36" s="193"/>
      <c r="I36" s="128">
        <f>I34/I35</f>
        <v>0.535342261904762</v>
      </c>
      <c r="J36" s="193"/>
      <c r="K36" s="128">
        <f>K34/K35</f>
        <v>0.5489130434782609</v>
      </c>
      <c r="L36" s="193"/>
      <c r="M36" s="128">
        <f>M34/M35</f>
        <v>0.5416666666666666</v>
      </c>
      <c r="N36" s="193"/>
      <c r="O36" s="128">
        <f>O34/O35</f>
        <v>0.5416666666666666</v>
      </c>
      <c r="P36" s="194"/>
      <c r="Q36" s="128">
        <v>0</v>
      </c>
      <c r="R36" s="128">
        <f>R34/R35</f>
        <v>0.7999071494893223</v>
      </c>
      <c r="T36"/>
    </row>
    <row r="37" spans="1:90" s="2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</row>
    <row r="38" spans="1:90" s="2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</row>
    <row r="39" spans="2:90" s="2" customFormat="1" ht="12.75">
      <c r="B39" s="586"/>
      <c r="D39"/>
      <c r="E39"/>
      <c r="F39"/>
      <c r="G39"/>
      <c r="H39"/>
      <c r="I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</row>
    <row r="40" spans="1:90" s="2" customFormat="1" ht="15.75">
      <c r="A40" s="678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675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</row>
    <row r="41" spans="1:90" s="2" customFormat="1" ht="12.75">
      <c r="A41" s="678"/>
      <c r="B41" s="676"/>
      <c r="C41" s="676"/>
      <c r="D41" s="676"/>
      <c r="E41" s="676"/>
      <c r="F41" s="668"/>
      <c r="G41" s="668"/>
      <c r="H41" s="668"/>
      <c r="I41" s="668"/>
      <c r="J41" s="668"/>
      <c r="K41" s="668"/>
      <c r="L41" s="668"/>
      <c r="M41" s="668"/>
      <c r="N41" s="820"/>
      <c r="O41" s="668"/>
      <c r="P41" s="820"/>
      <c r="Q41" s="668"/>
      <c r="R41" s="675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</row>
    <row r="42" spans="1:90" s="2" customFormat="1" ht="12.75">
      <c r="A42" s="678"/>
      <c r="B42" s="580"/>
      <c r="C42" s="581"/>
      <c r="D42" s="580"/>
      <c r="E42" s="581"/>
      <c r="F42" s="580"/>
      <c r="G42" s="581"/>
      <c r="H42" s="580"/>
      <c r="I42" s="581"/>
      <c r="J42" s="580"/>
      <c r="K42" s="581"/>
      <c r="L42" s="580"/>
      <c r="M42" s="581"/>
      <c r="N42" s="580"/>
      <c r="O42" s="581"/>
      <c r="P42" s="580"/>
      <c r="Q42" s="581"/>
      <c r="R42" s="675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</row>
    <row r="43" spans="1:90" s="2" customFormat="1" ht="15">
      <c r="A43" s="93"/>
      <c r="B43" s="587"/>
      <c r="C43" s="191"/>
      <c r="D43" s="587"/>
      <c r="E43" s="191"/>
      <c r="F43" s="582"/>
      <c r="G43" s="583"/>
      <c r="H43" s="582"/>
      <c r="I43" s="583"/>
      <c r="J43" s="582"/>
      <c r="K43" s="583"/>
      <c r="L43" s="582"/>
      <c r="M43" s="583"/>
      <c r="N43" s="582"/>
      <c r="O43" s="583"/>
      <c r="P43" s="582"/>
      <c r="Q43" s="583"/>
      <c r="R43" s="191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</row>
    <row r="44" spans="1:90" s="2" customFormat="1" ht="19.5">
      <c r="A44" s="93"/>
      <c r="B44" s="587"/>
      <c r="C44" s="584"/>
      <c r="D44" s="587"/>
      <c r="E44" s="584"/>
      <c r="F44" s="582"/>
      <c r="G44" s="584"/>
      <c r="H44" s="582"/>
      <c r="I44" s="584"/>
      <c r="J44" s="582"/>
      <c r="K44" s="584"/>
      <c r="L44" s="582"/>
      <c r="M44" s="584"/>
      <c r="N44" s="582"/>
      <c r="O44" s="584"/>
      <c r="P44" s="582"/>
      <c r="Q44" s="584"/>
      <c r="R44" s="59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</row>
    <row r="45" spans="1:90" s="2" customFormat="1" ht="19.5">
      <c r="A45" s="93"/>
      <c r="B45" s="587"/>
      <c r="C45" s="584"/>
      <c r="D45" s="587"/>
      <c r="E45" s="584"/>
      <c r="F45" s="582"/>
      <c r="G45" s="584"/>
      <c r="H45" s="582"/>
      <c r="I45" s="584"/>
      <c r="J45" s="582"/>
      <c r="K45" s="584"/>
      <c r="L45" s="582"/>
      <c r="M45" s="584"/>
      <c r="N45" s="582"/>
      <c r="O45" s="584"/>
      <c r="P45" s="582"/>
      <c r="Q45" s="584"/>
      <c r="R45" s="594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</row>
    <row r="46" spans="1:90" s="2" customFormat="1" ht="19.5">
      <c r="A46" s="93"/>
      <c r="B46" s="587"/>
      <c r="C46" s="584"/>
      <c r="D46" s="587"/>
      <c r="E46" s="584"/>
      <c r="F46" s="582"/>
      <c r="G46" s="584"/>
      <c r="H46" s="582"/>
      <c r="I46" s="584"/>
      <c r="J46" s="582"/>
      <c r="K46" s="584"/>
      <c r="L46" s="582"/>
      <c r="M46" s="584"/>
      <c r="N46" s="582"/>
      <c r="O46" s="584"/>
      <c r="P46" s="582"/>
      <c r="Q46" s="584"/>
      <c r="R46" s="594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</row>
    <row r="47" spans="1:90" s="2" customFormat="1" ht="19.5">
      <c r="A47" s="93"/>
      <c r="B47" s="587"/>
      <c r="C47" s="584"/>
      <c r="D47" s="587"/>
      <c r="E47" s="584"/>
      <c r="F47" s="582"/>
      <c r="G47" s="584"/>
      <c r="H47" s="582"/>
      <c r="I47" s="584"/>
      <c r="J47" s="582"/>
      <c r="K47" s="584"/>
      <c r="L47" s="582"/>
      <c r="M47" s="584"/>
      <c r="N47" s="582"/>
      <c r="O47" s="584"/>
      <c r="P47" s="582"/>
      <c r="Q47" s="584"/>
      <c r="R47" s="594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</row>
    <row r="48" spans="1:90" s="2" customFormat="1" ht="19.5">
      <c r="A48" s="93"/>
      <c r="B48" s="587"/>
      <c r="C48" s="584"/>
      <c r="D48" s="587"/>
      <c r="E48" s="584"/>
      <c r="F48" s="582"/>
      <c r="G48" s="584"/>
      <c r="H48" s="582"/>
      <c r="I48" s="584"/>
      <c r="J48" s="582"/>
      <c r="K48" s="584"/>
      <c r="L48" s="582"/>
      <c r="M48" s="584"/>
      <c r="N48" s="582"/>
      <c r="O48" s="584"/>
      <c r="P48" s="582"/>
      <c r="Q48" s="584"/>
      <c r="R48" s="594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</row>
    <row r="49" spans="1:90" s="2" customFormat="1" ht="19.5">
      <c r="A49" s="93"/>
      <c r="B49" s="587"/>
      <c r="C49" s="584"/>
      <c r="D49" s="587"/>
      <c r="E49" s="584"/>
      <c r="F49" s="582"/>
      <c r="G49" s="584"/>
      <c r="H49" s="582"/>
      <c r="I49" s="584"/>
      <c r="J49" s="582"/>
      <c r="K49" s="584"/>
      <c r="L49" s="582"/>
      <c r="M49" s="584"/>
      <c r="N49" s="582"/>
      <c r="O49" s="584"/>
      <c r="P49" s="582"/>
      <c r="Q49" s="584"/>
      <c r="R49" s="594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</row>
    <row r="50" spans="1:90" s="104" customFormat="1" ht="19.5">
      <c r="A50" s="93"/>
      <c r="B50" s="587"/>
      <c r="C50" s="584"/>
      <c r="D50" s="587"/>
      <c r="E50" s="584"/>
      <c r="F50" s="582"/>
      <c r="G50" s="584"/>
      <c r="H50" s="582"/>
      <c r="I50" s="584"/>
      <c r="J50" s="582"/>
      <c r="K50" s="584"/>
      <c r="L50" s="582"/>
      <c r="M50" s="584"/>
      <c r="N50" s="582"/>
      <c r="O50" s="584"/>
      <c r="P50" s="582"/>
      <c r="Q50" s="584"/>
      <c r="R50" s="594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</row>
    <row r="51" spans="1:90" s="104" customFormat="1" ht="19.5">
      <c r="A51" s="93"/>
      <c r="B51" s="587"/>
      <c r="C51" s="584"/>
      <c r="D51" s="587"/>
      <c r="E51" s="584"/>
      <c r="F51" s="582"/>
      <c r="G51" s="584"/>
      <c r="H51" s="582"/>
      <c r="I51" s="584"/>
      <c r="J51" s="582"/>
      <c r="K51" s="584"/>
      <c r="L51" s="582"/>
      <c r="M51" s="584"/>
      <c r="N51" s="582"/>
      <c r="O51" s="584"/>
      <c r="P51" s="582"/>
      <c r="Q51" s="584"/>
      <c r="R51" s="594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</row>
    <row r="52" spans="1:90" s="104" customFormat="1" ht="19.5">
      <c r="A52" s="93"/>
      <c r="B52" s="587"/>
      <c r="C52" s="584"/>
      <c r="D52" s="587"/>
      <c r="E52" s="584"/>
      <c r="F52" s="582"/>
      <c r="G52" s="584"/>
      <c r="H52" s="582"/>
      <c r="I52" s="584"/>
      <c r="J52" s="582"/>
      <c r="K52" s="584"/>
      <c r="L52" s="582"/>
      <c r="M52" s="584"/>
      <c r="N52" s="582"/>
      <c r="O52" s="584"/>
      <c r="P52" s="582"/>
      <c r="Q52" s="584"/>
      <c r="R52" s="594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</row>
    <row r="53" spans="1:90" s="104" customFormat="1" ht="19.5">
      <c r="A53" s="93"/>
      <c r="B53" s="587"/>
      <c r="C53" s="584"/>
      <c r="D53" s="587"/>
      <c r="E53" s="584"/>
      <c r="F53" s="582"/>
      <c r="G53" s="584"/>
      <c r="H53" s="582"/>
      <c r="I53" s="584"/>
      <c r="J53" s="582"/>
      <c r="K53" s="584"/>
      <c r="L53" s="582"/>
      <c r="M53" s="584"/>
      <c r="N53" s="582"/>
      <c r="O53" s="584"/>
      <c r="P53" s="582"/>
      <c r="Q53" s="584"/>
      <c r="R53" s="594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</row>
    <row r="54" spans="1:90" s="104" customFormat="1" ht="19.5">
      <c r="A54" s="93"/>
      <c r="B54" s="587"/>
      <c r="C54" s="584"/>
      <c r="D54" s="587"/>
      <c r="E54" s="584"/>
      <c r="F54" s="582"/>
      <c r="G54" s="584"/>
      <c r="H54" s="582"/>
      <c r="I54" s="584"/>
      <c r="J54" s="582"/>
      <c r="K54" s="584"/>
      <c r="L54" s="582"/>
      <c r="M54" s="584"/>
      <c r="N54" s="582"/>
      <c r="O54" s="584"/>
      <c r="P54" s="582"/>
      <c r="Q54" s="584"/>
      <c r="R54" s="59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</row>
    <row r="55" spans="1:90" s="104" customFormat="1" ht="19.5">
      <c r="A55" s="93"/>
      <c r="B55" s="587"/>
      <c r="C55" s="584"/>
      <c r="D55" s="587"/>
      <c r="E55" s="584"/>
      <c r="F55" s="582"/>
      <c r="G55" s="584"/>
      <c r="H55" s="582"/>
      <c r="I55" s="584"/>
      <c r="J55" s="582"/>
      <c r="K55" s="584"/>
      <c r="L55" s="582"/>
      <c r="M55" s="584"/>
      <c r="N55" s="582"/>
      <c r="O55" s="584"/>
      <c r="P55" s="582"/>
      <c r="Q55" s="584"/>
      <c r="R55" s="594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</row>
    <row r="56" spans="1:90" s="104" customFormat="1" ht="19.5">
      <c r="A56" s="93"/>
      <c r="B56" s="587"/>
      <c r="C56" s="584"/>
      <c r="D56" s="587"/>
      <c r="E56" s="584"/>
      <c r="F56" s="582"/>
      <c r="G56" s="584"/>
      <c r="H56" s="582"/>
      <c r="I56" s="584"/>
      <c r="J56" s="582"/>
      <c r="K56" s="584"/>
      <c r="L56" s="582"/>
      <c r="M56" s="584"/>
      <c r="N56" s="582"/>
      <c r="O56" s="584"/>
      <c r="P56" s="582"/>
      <c r="Q56" s="584"/>
      <c r="R56" s="594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</row>
    <row r="57" spans="1:90" s="104" customFormat="1" ht="19.5">
      <c r="A57" s="93"/>
      <c r="B57" s="587"/>
      <c r="C57" s="584"/>
      <c r="D57" s="587"/>
      <c r="E57" s="584"/>
      <c r="F57" s="582"/>
      <c r="G57" s="584"/>
      <c r="H57" s="582"/>
      <c r="I57" s="584"/>
      <c r="J57" s="582"/>
      <c r="K57" s="584"/>
      <c r="L57" s="582"/>
      <c r="M57" s="584"/>
      <c r="N57" s="582"/>
      <c r="O57" s="584"/>
      <c r="P57" s="582"/>
      <c r="Q57" s="584"/>
      <c r="R57" s="594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</row>
    <row r="58" spans="1:90" s="104" customFormat="1" ht="19.5">
      <c r="A58" s="93"/>
      <c r="B58" s="587"/>
      <c r="C58" s="584"/>
      <c r="D58" s="587"/>
      <c r="E58" s="584"/>
      <c r="F58" s="582"/>
      <c r="G58" s="584"/>
      <c r="H58" s="582"/>
      <c r="I58" s="584"/>
      <c r="J58" s="582"/>
      <c r="K58" s="584"/>
      <c r="L58" s="582"/>
      <c r="M58" s="584"/>
      <c r="N58" s="582"/>
      <c r="O58" s="584"/>
      <c r="P58" s="582"/>
      <c r="Q58" s="584"/>
      <c r="R58" s="594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</row>
    <row r="59" spans="1:90" s="104" customFormat="1" ht="19.5">
      <c r="A59" s="93"/>
      <c r="B59" s="587"/>
      <c r="C59" s="584"/>
      <c r="D59" s="587"/>
      <c r="E59" s="584"/>
      <c r="F59" s="582"/>
      <c r="G59" s="584"/>
      <c r="H59" s="582"/>
      <c r="I59" s="584"/>
      <c r="J59" s="582"/>
      <c r="K59" s="584"/>
      <c r="L59" s="582"/>
      <c r="M59" s="584"/>
      <c r="N59" s="582"/>
      <c r="O59" s="584"/>
      <c r="P59" s="582"/>
      <c r="Q59" s="584"/>
      <c r="R59" s="594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</row>
    <row r="60" spans="1:90" s="104" customFormat="1" ht="19.5">
      <c r="A60" s="93"/>
      <c r="B60" s="587"/>
      <c r="C60" s="584"/>
      <c r="D60" s="587"/>
      <c r="E60" s="584"/>
      <c r="F60" s="582"/>
      <c r="G60" s="584"/>
      <c r="H60" s="582"/>
      <c r="I60" s="584"/>
      <c r="J60" s="582"/>
      <c r="K60" s="584"/>
      <c r="L60" s="582"/>
      <c r="M60" s="584"/>
      <c r="N60" s="582"/>
      <c r="O60" s="584"/>
      <c r="P60" s="582"/>
      <c r="Q60" s="584"/>
      <c r="R60" s="594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</row>
    <row r="61" spans="1:90" s="104" customFormat="1" ht="19.5">
      <c r="A61" s="93"/>
      <c r="B61" s="587"/>
      <c r="C61" s="584"/>
      <c r="D61" s="587"/>
      <c r="E61" s="584"/>
      <c r="F61" s="582"/>
      <c r="G61" s="584"/>
      <c r="H61" s="582"/>
      <c r="I61" s="584"/>
      <c r="J61" s="582"/>
      <c r="K61" s="584"/>
      <c r="L61" s="582"/>
      <c r="M61" s="584"/>
      <c r="N61" s="582"/>
      <c r="O61" s="584"/>
      <c r="P61" s="582"/>
      <c r="Q61" s="584"/>
      <c r="R61" s="594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</row>
    <row r="62" spans="1:90" s="104" customFormat="1" ht="19.5">
      <c r="A62" s="93"/>
      <c r="B62" s="587"/>
      <c r="C62" s="584"/>
      <c r="D62" s="587"/>
      <c r="E62" s="584"/>
      <c r="F62" s="582"/>
      <c r="G62" s="584"/>
      <c r="H62" s="582"/>
      <c r="I62" s="584"/>
      <c r="J62" s="582"/>
      <c r="K62" s="584"/>
      <c r="L62" s="582"/>
      <c r="M62" s="584"/>
      <c r="N62" s="582"/>
      <c r="O62" s="584"/>
      <c r="P62" s="582"/>
      <c r="Q62" s="584"/>
      <c r="R62" s="594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</row>
    <row r="63" spans="1:90" s="104" customFormat="1" ht="19.5">
      <c r="A63" s="93"/>
      <c r="B63" s="587"/>
      <c r="C63" s="584"/>
      <c r="D63" s="587"/>
      <c r="E63" s="584"/>
      <c r="F63" s="582"/>
      <c r="G63" s="584"/>
      <c r="H63" s="582"/>
      <c r="I63" s="584"/>
      <c r="J63" s="582"/>
      <c r="K63" s="584"/>
      <c r="L63" s="582"/>
      <c r="M63" s="584"/>
      <c r="N63" s="582"/>
      <c r="O63" s="584"/>
      <c r="P63" s="582"/>
      <c r="Q63" s="584"/>
      <c r="R63" s="594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</row>
    <row r="64" spans="1:90" s="104" customFormat="1" ht="19.5">
      <c r="A64" s="93"/>
      <c r="B64" s="587"/>
      <c r="C64" s="584"/>
      <c r="D64" s="587"/>
      <c r="E64" s="584"/>
      <c r="F64" s="582"/>
      <c r="G64" s="584"/>
      <c r="H64" s="582"/>
      <c r="I64" s="584"/>
      <c r="J64" s="582"/>
      <c r="K64" s="584"/>
      <c r="L64" s="582"/>
      <c r="M64" s="584"/>
      <c r="N64" s="582"/>
      <c r="O64" s="584"/>
      <c r="P64" s="582"/>
      <c r="Q64" s="584"/>
      <c r="R64" s="59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</row>
    <row r="65" spans="1:90" s="104" customFormat="1" ht="19.5">
      <c r="A65" s="93"/>
      <c r="B65" s="587"/>
      <c r="C65" s="584"/>
      <c r="D65" s="587"/>
      <c r="E65" s="584"/>
      <c r="F65" s="582"/>
      <c r="G65" s="584"/>
      <c r="H65" s="582"/>
      <c r="I65" s="584"/>
      <c r="J65" s="582"/>
      <c r="K65" s="584"/>
      <c r="L65" s="582"/>
      <c r="M65" s="584"/>
      <c r="N65" s="582"/>
      <c r="O65" s="584"/>
      <c r="P65" s="582"/>
      <c r="Q65" s="584"/>
      <c r="R65" s="594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</row>
    <row r="66" spans="1:90" s="104" customFormat="1" ht="19.5">
      <c r="A66" s="93"/>
      <c r="B66" s="587"/>
      <c r="C66" s="584"/>
      <c r="D66" s="587"/>
      <c r="E66" s="584"/>
      <c r="F66" s="582"/>
      <c r="G66" s="584"/>
      <c r="H66" s="582"/>
      <c r="I66" s="584"/>
      <c r="J66" s="582"/>
      <c r="K66" s="584"/>
      <c r="L66" s="582"/>
      <c r="M66" s="584"/>
      <c r="N66" s="582"/>
      <c r="O66" s="584"/>
      <c r="P66" s="582"/>
      <c r="Q66" s="584"/>
      <c r="R66" s="594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</row>
    <row r="67" spans="1:90" s="104" customFormat="1" ht="19.5">
      <c r="A67" s="93"/>
      <c r="B67" s="587"/>
      <c r="C67" s="584"/>
      <c r="D67" s="587"/>
      <c r="E67" s="584"/>
      <c r="F67" s="582"/>
      <c r="G67" s="584"/>
      <c r="H67" s="582"/>
      <c r="I67" s="584"/>
      <c r="J67" s="582"/>
      <c r="K67" s="584"/>
      <c r="L67" s="582"/>
      <c r="M67" s="584"/>
      <c r="N67" s="582"/>
      <c r="O67" s="584"/>
      <c r="P67" s="582"/>
      <c r="Q67" s="584"/>
      <c r="R67" s="594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</row>
    <row r="68" spans="1:90" s="104" customFormat="1" ht="19.5">
      <c r="A68" s="673"/>
      <c r="B68" s="673"/>
      <c r="C68" s="207"/>
      <c r="D68" s="593"/>
      <c r="E68" s="207"/>
      <c r="F68" s="585"/>
      <c r="G68" s="204"/>
      <c r="H68" s="585"/>
      <c r="I68" s="204"/>
      <c r="J68" s="585"/>
      <c r="K68" s="204"/>
      <c r="L68" s="585"/>
      <c r="M68" s="204"/>
      <c r="N68" s="585"/>
      <c r="O68" s="204"/>
      <c r="P68" s="585"/>
      <c r="Q68" s="204"/>
      <c r="R68" s="594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</row>
    <row r="69" spans="1:90" s="104" customFormat="1" ht="15.75">
      <c r="A69" s="588"/>
      <c r="B69" s="9"/>
      <c r="C69" s="589"/>
      <c r="D69" s="590"/>
      <c r="E69" s="589"/>
      <c r="F69" s="193"/>
      <c r="G69" s="127"/>
      <c r="H69" s="193"/>
      <c r="I69" s="127"/>
      <c r="J69" s="193"/>
      <c r="K69" s="127"/>
      <c r="L69" s="193"/>
      <c r="M69" s="127"/>
      <c r="N69" s="193"/>
      <c r="O69" s="127"/>
      <c r="P69" s="194"/>
      <c r="Q69" s="127"/>
      <c r="R69" s="58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</row>
    <row r="70" spans="1:90" s="104" customFormat="1" ht="15.75">
      <c r="A70" s="588"/>
      <c r="B70" s="9"/>
      <c r="C70" s="589"/>
      <c r="D70" s="590"/>
      <c r="E70" s="589"/>
      <c r="F70" s="193"/>
      <c r="G70" s="127"/>
      <c r="H70" s="193"/>
      <c r="I70" s="127"/>
      <c r="J70" s="193"/>
      <c r="K70" s="127"/>
      <c r="L70" s="193"/>
      <c r="M70" s="127"/>
      <c r="N70" s="193"/>
      <c r="O70" s="127"/>
      <c r="P70" s="194"/>
      <c r="Q70" s="127"/>
      <c r="R70" s="589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</row>
    <row r="71" spans="1:90" s="104" customFormat="1" ht="15.75">
      <c r="A71" s="591"/>
      <c r="B71" s="9"/>
      <c r="C71" s="592"/>
      <c r="D71" s="590"/>
      <c r="E71" s="592"/>
      <c r="F71" s="193"/>
      <c r="G71" s="128"/>
      <c r="H71" s="193"/>
      <c r="I71" s="128"/>
      <c r="J71" s="193"/>
      <c r="K71" s="128"/>
      <c r="L71" s="193"/>
      <c r="M71" s="128"/>
      <c r="N71" s="193"/>
      <c r="O71" s="128"/>
      <c r="P71" s="194"/>
      <c r="Q71" s="128"/>
      <c r="R71" s="592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</row>
    <row r="72" spans="1:90" s="104" customFormat="1" ht="12.75">
      <c r="A72" s="9"/>
      <c r="B72" s="9"/>
      <c r="C72" s="9"/>
      <c r="D72" s="9"/>
      <c r="E72" s="9"/>
      <c r="F72"/>
      <c r="G72"/>
      <c r="H72" s="2"/>
      <c r="I72" s="2"/>
      <c r="J72"/>
      <c r="K72"/>
      <c r="L72"/>
      <c r="M72"/>
      <c r="N72"/>
      <c r="O72"/>
      <c r="P72"/>
      <c r="Q72"/>
      <c r="R72" s="9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</row>
    <row r="73" spans="1:90" s="104" customFormat="1" ht="12.75">
      <c r="A73" s="9"/>
      <c r="B73" s="9"/>
      <c r="C73" s="9"/>
      <c r="D73" s="9"/>
      <c r="E73" s="9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</row>
    <row r="74" spans="1:90" s="104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</row>
    <row r="75" spans="1:90" s="104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</row>
    <row r="76" spans="1:90" s="104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</row>
    <row r="77" spans="1:90" s="104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</row>
    <row r="78" spans="1:90" s="104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</row>
  </sheetData>
  <sheetProtection/>
  <mergeCells count="26">
    <mergeCell ref="A68:B68"/>
    <mergeCell ref="A40:A42"/>
    <mergeCell ref="R40:R42"/>
    <mergeCell ref="B41:C41"/>
    <mergeCell ref="D41:E41"/>
    <mergeCell ref="F41:G41"/>
    <mergeCell ref="H41:I41"/>
    <mergeCell ref="J41:K41"/>
    <mergeCell ref="L41:M41"/>
    <mergeCell ref="N41:O41"/>
    <mergeCell ref="P41:Q41"/>
    <mergeCell ref="A33:B33"/>
    <mergeCell ref="P6:Q6"/>
    <mergeCell ref="B6:C6"/>
    <mergeCell ref="D6:E6"/>
    <mergeCell ref="F6:G6"/>
    <mergeCell ref="A5:A7"/>
    <mergeCell ref="B5:Q5"/>
    <mergeCell ref="R5:R7"/>
    <mergeCell ref="H6:I6"/>
    <mergeCell ref="J6:K6"/>
    <mergeCell ref="L6:M6"/>
    <mergeCell ref="N6:O6"/>
    <mergeCell ref="A1:R1"/>
    <mergeCell ref="A2:R2"/>
    <mergeCell ref="A3:R3"/>
  </mergeCells>
  <printOptions horizontalCentered="1"/>
  <pageMargins left="0" right="0" top="0.41" bottom="0.16" header="0.5118110236220472" footer="0.16"/>
  <pageSetup fitToWidth="0" fitToHeight="1" horizontalDpi="1200" verticalDpi="1200" orientation="landscape" paperSize="9" scale="71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N39"/>
  <sheetViews>
    <sheetView view="pageBreakPreview" zoomScale="60" zoomScalePageLayoutView="0" workbookViewId="0" topLeftCell="A1">
      <selection activeCell="G25" sqref="G25"/>
    </sheetView>
  </sheetViews>
  <sheetFormatPr defaultColWidth="9.140625" defaultRowHeight="12.75"/>
  <cols>
    <col min="1" max="1" width="43.7109375" style="104" customWidth="1"/>
    <col min="2" max="2" width="8.28125" style="0" customWidth="1"/>
    <col min="3" max="3" width="13.00390625" style="0" customWidth="1"/>
    <col min="4" max="4" width="26.57421875" style="0" customWidth="1"/>
    <col min="5" max="5" width="43.57421875" style="2" customWidth="1"/>
    <col min="6" max="6" width="16.00390625" style="2" customWidth="1"/>
    <col min="7" max="7" width="23.00390625" style="0" customWidth="1"/>
  </cols>
  <sheetData>
    <row r="1" spans="1:14" ht="54" customHeight="1">
      <c r="A1" s="679" t="s">
        <v>337</v>
      </c>
      <c r="B1" s="679"/>
      <c r="C1" s="679"/>
      <c r="D1" s="679"/>
      <c r="E1" s="679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25.5" customHeight="1">
      <c r="A2" s="680" t="str">
        <f>Дата!B2</f>
        <v>19 июня 2019 год</v>
      </c>
      <c r="B2" s="680"/>
      <c r="C2" s="680"/>
      <c r="D2" s="680"/>
      <c r="E2" s="680"/>
      <c r="F2" s="211"/>
      <c r="G2" s="211"/>
      <c r="H2" s="211"/>
      <c r="I2" s="211"/>
      <c r="J2" s="211"/>
      <c r="K2" s="211"/>
      <c r="L2" s="211"/>
      <c r="M2" s="211"/>
      <c r="N2" s="211"/>
    </row>
    <row r="3" spans="7:8" ht="16.5" customHeight="1" thickBot="1">
      <c r="G3" s="2"/>
      <c r="H3" s="2"/>
    </row>
    <row r="4" spans="1:8" ht="0.75" customHeight="1">
      <c r="A4" s="142"/>
      <c r="B4" s="693" t="s">
        <v>22</v>
      </c>
      <c r="C4" s="696" t="s">
        <v>285</v>
      </c>
      <c r="D4" s="697"/>
      <c r="E4" s="102"/>
      <c r="F4" s="102"/>
      <c r="G4" s="2"/>
      <c r="H4" s="2"/>
    </row>
    <row r="5" spans="1:8" ht="36.75" customHeight="1">
      <c r="A5" s="142"/>
      <c r="B5" s="694"/>
      <c r="C5" s="698"/>
      <c r="D5" s="699"/>
      <c r="E5" s="49"/>
      <c r="F5" s="49"/>
      <c r="G5" s="2"/>
      <c r="H5" s="2"/>
    </row>
    <row r="6" spans="1:8" ht="51.75" customHeight="1" thickBot="1">
      <c r="A6" s="115"/>
      <c r="B6" s="695"/>
      <c r="C6" s="700"/>
      <c r="D6" s="701"/>
      <c r="E6" s="49"/>
      <c r="F6" s="49"/>
      <c r="G6" s="2"/>
      <c r="H6" s="2"/>
    </row>
    <row r="7" spans="1:8" ht="19.5" customHeight="1">
      <c r="A7" s="115"/>
      <c r="B7" s="37">
        <v>2</v>
      </c>
      <c r="C7" s="702"/>
      <c r="D7" s="703"/>
      <c r="E7" s="93"/>
      <c r="F7" s="93"/>
      <c r="G7" s="2"/>
      <c r="H7" s="2"/>
    </row>
    <row r="8" spans="1:8" ht="19.5" customHeight="1">
      <c r="A8" s="115"/>
      <c r="B8" s="42">
        <v>3</v>
      </c>
      <c r="C8" s="689">
        <f>'У-Ю, Ю  Обь РН-ЮНГ'!E9+'Лемпино РН-ЮНГ'!E9+РОВД!M9+Сингапай!BF9+Чеускино!R9</f>
        <v>1310</v>
      </c>
      <c r="D8" s="690"/>
      <c r="E8" s="93"/>
      <c r="F8" s="93"/>
      <c r="G8" s="2"/>
      <c r="H8" s="160"/>
    </row>
    <row r="9" spans="1:8" ht="19.5" customHeight="1">
      <c r="A9" s="115"/>
      <c r="B9" s="42">
        <v>4</v>
      </c>
      <c r="C9" s="689">
        <f>'У-Ю, Ю  Обь РН-ЮНГ'!E10+'Лемпино РН-ЮНГ'!E10+РОВД!M10+Сингапай!BF10+Чеускино!R10</f>
        <v>1235</v>
      </c>
      <c r="D9" s="690"/>
      <c r="E9" s="93"/>
      <c r="F9" s="93"/>
      <c r="G9" s="2"/>
      <c r="H9" s="160"/>
    </row>
    <row r="10" spans="1:8" ht="19.5" customHeight="1">
      <c r="A10" s="115"/>
      <c r="B10" s="42">
        <v>5</v>
      </c>
      <c r="C10" s="689">
        <f>'У-Ю, Ю  Обь РН-ЮНГ'!E11+'Лемпино РН-ЮНГ'!E11+РОВД!M11+Сингапай!BF11+Чеускино!R11</f>
        <v>1419</v>
      </c>
      <c r="D10" s="690"/>
      <c r="E10" s="93"/>
      <c r="F10" s="93"/>
      <c r="G10" s="2"/>
      <c r="H10" s="160"/>
    </row>
    <row r="11" spans="1:8" ht="19.5" customHeight="1">
      <c r="A11" s="115"/>
      <c r="B11" s="42">
        <v>6</v>
      </c>
      <c r="C11" s="689">
        <f>'У-Ю, Ю  Обь РН-ЮНГ'!E12+'Лемпино РН-ЮНГ'!E12+РОВД!M12+Сингапай!BF12+Чеускино!R12</f>
        <v>1385</v>
      </c>
      <c r="D11" s="690"/>
      <c r="E11" s="93"/>
      <c r="F11" s="93"/>
      <c r="G11" s="2"/>
      <c r="H11" s="160"/>
    </row>
    <row r="12" spans="1:8" ht="19.5" customHeight="1">
      <c r="A12" s="115"/>
      <c r="B12" s="42">
        <v>7</v>
      </c>
      <c r="C12" s="689">
        <f>'У-Ю, Ю  Обь РН-ЮНГ'!E13+'Лемпино РН-ЮНГ'!E13+РОВД!M13+Сингапай!BF13+Чеускино!R13</f>
        <v>1592</v>
      </c>
      <c r="D12" s="690"/>
      <c r="E12" s="93"/>
      <c r="F12" s="93"/>
      <c r="G12" s="2"/>
      <c r="H12" s="160"/>
    </row>
    <row r="13" spans="1:8" ht="19.5" customHeight="1">
      <c r="A13" s="115"/>
      <c r="B13" s="42">
        <v>8</v>
      </c>
      <c r="C13" s="689">
        <f>'У-Ю, Ю  Обь РН-ЮНГ'!E14+'Лемпино РН-ЮНГ'!E14+РОВД!M14+Сингапай!BF14+Чеускино!R14</f>
        <v>1892</v>
      </c>
      <c r="D13" s="690"/>
      <c r="E13" s="93"/>
      <c r="F13" s="93"/>
      <c r="G13" s="2"/>
      <c r="H13" s="160"/>
    </row>
    <row r="14" spans="1:8" ht="19.5" customHeight="1">
      <c r="A14" s="115"/>
      <c r="B14" s="42">
        <v>9</v>
      </c>
      <c r="C14" s="689">
        <f>'У-Ю, Ю  Обь РН-ЮНГ'!E15+'Лемпино РН-ЮНГ'!E15+РОВД!M15+Сингапай!BF15+Чеускино!R15</f>
        <v>1830</v>
      </c>
      <c r="D14" s="690"/>
      <c r="E14" s="93"/>
      <c r="F14" s="93"/>
      <c r="G14" s="2"/>
      <c r="H14" s="160"/>
    </row>
    <row r="15" spans="1:8" ht="19.5" customHeight="1">
      <c r="A15" s="115"/>
      <c r="B15" s="42">
        <v>10</v>
      </c>
      <c r="C15" s="689">
        <f>'У-Ю, Ю  Обь РН-ЮНГ'!E16+'Лемпино РН-ЮНГ'!E16+РОВД!M16+Сингапай!BF16+Чеускино!R16</f>
        <v>1723</v>
      </c>
      <c r="D15" s="690"/>
      <c r="E15" s="93"/>
      <c r="F15" s="93"/>
      <c r="G15" s="2"/>
      <c r="H15" s="160"/>
    </row>
    <row r="16" spans="1:8" ht="19.5" customHeight="1">
      <c r="A16" s="115"/>
      <c r="B16" s="42">
        <v>11</v>
      </c>
      <c r="C16" s="689">
        <f>'У-Ю, Ю  Обь РН-ЮНГ'!E17+'Лемпино РН-ЮНГ'!E17+РОВД!M17+Сингапай!BF17+Чеускино!R17</f>
        <v>1667</v>
      </c>
      <c r="D16" s="690"/>
      <c r="E16" s="93"/>
      <c r="F16" s="93"/>
      <c r="G16" s="2"/>
      <c r="H16" s="160"/>
    </row>
    <row r="17" spans="1:8" ht="19.5" customHeight="1">
      <c r="A17" s="115"/>
      <c r="B17" s="42">
        <v>12</v>
      </c>
      <c r="C17" s="689">
        <f>'У-Ю, Ю  Обь РН-ЮНГ'!E18+'Лемпино РН-ЮНГ'!E18+РОВД!M18+Сингапай!BF18+Чеускино!R18</f>
        <v>1678</v>
      </c>
      <c r="D17" s="690"/>
      <c r="E17" s="93"/>
      <c r="F17" s="93"/>
      <c r="G17" s="2"/>
      <c r="H17" s="160"/>
    </row>
    <row r="18" spans="1:8" ht="19.5" customHeight="1">
      <c r="A18" s="115"/>
      <c r="B18" s="42">
        <v>13</v>
      </c>
      <c r="C18" s="689">
        <f>'У-Ю, Ю  Обь РН-ЮНГ'!E19+'Лемпино РН-ЮНГ'!E19+РОВД!M19+Сингапай!BF19+Чеускино!R19</f>
        <v>1677</v>
      </c>
      <c r="D18" s="690"/>
      <c r="E18" s="93"/>
      <c r="F18" s="93"/>
      <c r="G18" s="2"/>
      <c r="H18" s="160"/>
    </row>
    <row r="19" spans="1:8" ht="19.5" customHeight="1">
      <c r="A19" s="115"/>
      <c r="B19" s="42">
        <v>14</v>
      </c>
      <c r="C19" s="689">
        <f>'У-Ю, Ю  Обь РН-ЮНГ'!E20+'Лемпино РН-ЮНГ'!E20+РОВД!M20+Сингапай!BF20+Чеускино!R20</f>
        <v>1558</v>
      </c>
      <c r="D19" s="690"/>
      <c r="E19" s="93"/>
      <c r="F19" s="93"/>
      <c r="G19" s="2"/>
      <c r="H19" s="160"/>
    </row>
    <row r="20" spans="1:8" ht="19.5" customHeight="1">
      <c r="A20" s="115"/>
      <c r="B20" s="42">
        <v>15</v>
      </c>
      <c r="C20" s="689">
        <f>'У-Ю, Ю  Обь РН-ЮНГ'!E21+'Лемпино РН-ЮНГ'!E21+РОВД!M21+Сингапай!BF21+Чеускино!R21</f>
        <v>1527</v>
      </c>
      <c r="D20" s="690"/>
      <c r="E20" s="93"/>
      <c r="F20" s="93"/>
      <c r="G20" s="2"/>
      <c r="H20" s="160"/>
    </row>
    <row r="21" spans="1:8" ht="19.5" customHeight="1">
      <c r="A21" s="115"/>
      <c r="B21" s="42">
        <v>16</v>
      </c>
      <c r="C21" s="689">
        <f>'У-Ю, Ю  Обь РН-ЮНГ'!E22+'Лемпино РН-ЮНГ'!E22+РОВД!M22+Сингапай!BF22+Чеускино!R22</f>
        <v>1510</v>
      </c>
      <c r="D21" s="690"/>
      <c r="E21" s="93"/>
      <c r="F21" s="93"/>
      <c r="G21" s="2"/>
      <c r="H21" s="160"/>
    </row>
    <row r="22" spans="1:8" ht="19.5" customHeight="1">
      <c r="A22" s="115"/>
      <c r="B22" s="42">
        <v>17</v>
      </c>
      <c r="C22" s="689">
        <f>'У-Ю, Ю  Обь РН-ЮНГ'!E23+'Лемпино РН-ЮНГ'!E23+РОВД!M23+Сингапай!BF23+Чеускино!R23</f>
        <v>1601</v>
      </c>
      <c r="D22" s="690"/>
      <c r="E22" s="93"/>
      <c r="F22" s="93"/>
      <c r="G22" s="2"/>
      <c r="H22" s="160"/>
    </row>
    <row r="23" spans="1:8" ht="19.5" customHeight="1">
      <c r="A23" s="115"/>
      <c r="B23" s="42">
        <v>18</v>
      </c>
      <c r="C23" s="689">
        <f>'У-Ю, Ю  Обь РН-ЮНГ'!E24+'Лемпино РН-ЮНГ'!E24+РОВД!M24+Сингапай!BF24+Чеускино!R24</f>
        <v>1537</v>
      </c>
      <c r="D23" s="690"/>
      <c r="E23" s="93"/>
      <c r="F23" s="93"/>
      <c r="G23" s="2"/>
      <c r="H23" s="160"/>
    </row>
    <row r="24" spans="1:8" ht="19.5" customHeight="1">
      <c r="A24" s="115"/>
      <c r="B24" s="42">
        <v>19</v>
      </c>
      <c r="C24" s="689">
        <f>'У-Ю, Ю  Обь РН-ЮНГ'!E25+'Лемпино РН-ЮНГ'!E25+РОВД!M25+Сингапай!BF25+Чеускино!R25</f>
        <v>1593</v>
      </c>
      <c r="D24" s="690"/>
      <c r="E24" s="93"/>
      <c r="F24" s="93"/>
      <c r="G24" s="2"/>
      <c r="H24" s="160"/>
    </row>
    <row r="25" spans="1:8" ht="19.5" customHeight="1">
      <c r="A25" s="115"/>
      <c r="B25" s="42">
        <v>20</v>
      </c>
      <c r="C25" s="689">
        <f>'У-Ю, Ю  Обь РН-ЮНГ'!E26+'Лемпино РН-ЮНГ'!E26+РОВД!M26+Сингапай!BF26+Чеускино!R26</f>
        <v>1584</v>
      </c>
      <c r="D25" s="690"/>
      <c r="E25" s="93"/>
      <c r="F25" s="93"/>
      <c r="G25" s="2"/>
      <c r="H25" s="160"/>
    </row>
    <row r="26" spans="1:8" ht="19.5" customHeight="1">
      <c r="A26" s="115"/>
      <c r="B26" s="42">
        <v>21</v>
      </c>
      <c r="C26" s="689">
        <f>'У-Ю, Ю  Обь РН-ЮНГ'!E27+'Лемпино РН-ЮНГ'!E27+РОВД!M27+Сингапай!BF27+Чеускино!R27</f>
        <v>1853</v>
      </c>
      <c r="D26" s="690"/>
      <c r="E26" s="93"/>
      <c r="F26" s="93"/>
      <c r="G26" s="2"/>
      <c r="H26" s="160"/>
    </row>
    <row r="27" spans="1:8" ht="19.5" customHeight="1">
      <c r="A27" s="115"/>
      <c r="B27" s="42">
        <v>22</v>
      </c>
      <c r="C27" s="689">
        <f>'У-Ю, Ю  Обь РН-ЮНГ'!E28+'Лемпино РН-ЮНГ'!E28+РОВД!M28+Сингапай!BF28+Чеускино!R28</f>
        <v>1822</v>
      </c>
      <c r="D27" s="690"/>
      <c r="E27" s="93"/>
      <c r="F27" s="93"/>
      <c r="G27" s="2"/>
      <c r="H27" s="160"/>
    </row>
    <row r="28" spans="1:8" ht="19.5" customHeight="1">
      <c r="A28" s="115"/>
      <c r="B28" s="42">
        <v>23</v>
      </c>
      <c r="C28" s="689">
        <f>'У-Ю, Ю  Обь РН-ЮНГ'!E29+'Лемпино РН-ЮНГ'!E29+РОВД!M29+Сингапай!BF29+Чеускино!R29</f>
        <v>1565</v>
      </c>
      <c r="D28" s="690"/>
      <c r="E28" s="93"/>
      <c r="F28" s="93"/>
      <c r="G28" s="2"/>
      <c r="H28" s="160"/>
    </row>
    <row r="29" spans="1:8" ht="19.5" customHeight="1">
      <c r="A29" s="115"/>
      <c r="B29" s="42">
        <v>24</v>
      </c>
      <c r="C29" s="689">
        <f>'У-Ю, Ю  Обь РН-ЮНГ'!E30+'Лемпино РН-ЮНГ'!E30+РОВД!M30+Сингапай!BF30+Чеускино!R30</f>
        <v>1600</v>
      </c>
      <c r="D29" s="690"/>
      <c r="E29" s="93"/>
      <c r="F29" s="93"/>
      <c r="G29" s="2"/>
      <c r="H29" s="160"/>
    </row>
    <row r="30" spans="1:8" ht="19.5" customHeight="1">
      <c r="A30" s="115"/>
      <c r="B30" s="42">
        <v>1</v>
      </c>
      <c r="C30" s="689">
        <f>'У-Ю, Ю  Обь РН-ЮНГ'!E31+'Лемпино РН-ЮНГ'!E31+РОВД!M31+Сингапай!BF31+Чеускино!R31</f>
        <v>1342</v>
      </c>
      <c r="D30" s="690"/>
      <c r="E30" s="93"/>
      <c r="F30" s="93"/>
      <c r="G30" s="2"/>
      <c r="H30" s="160"/>
    </row>
    <row r="31" spans="1:8" ht="19.5" customHeight="1" thickBot="1">
      <c r="A31" s="115"/>
      <c r="B31" s="214">
        <v>2</v>
      </c>
      <c r="C31" s="689">
        <f>'У-Ю, Ю  Обь РН-ЮНГ'!E32+'Лемпино РН-ЮНГ'!E32+РОВД!M32+Сингапай!BF32+Чеускино!R32</f>
        <v>1181</v>
      </c>
      <c r="D31" s="690"/>
      <c r="E31" s="93"/>
      <c r="F31" s="93"/>
      <c r="G31" s="2"/>
      <c r="H31" s="160"/>
    </row>
    <row r="32" spans="1:8" ht="20.25" thickBot="1">
      <c r="A32" s="209"/>
      <c r="B32" s="595"/>
      <c r="C32" s="691">
        <f>SUM(C8:D31)</f>
        <v>37681</v>
      </c>
      <c r="D32" s="692"/>
      <c r="E32" s="82"/>
      <c r="F32" s="82"/>
      <c r="G32" s="2"/>
      <c r="H32" s="2"/>
    </row>
    <row r="33" spans="2:4" ht="24.75" customHeight="1">
      <c r="B33" s="108" t="s">
        <v>50</v>
      </c>
      <c r="C33" s="2"/>
      <c r="D33" s="216">
        <f>SUM(C8:D31)/24</f>
        <v>1570.0416666666667</v>
      </c>
    </row>
    <row r="34" spans="1:4" s="2" customFormat="1" ht="15.75">
      <c r="A34" s="138"/>
      <c r="B34" s="108" t="s">
        <v>51</v>
      </c>
      <c r="D34" s="216">
        <f>MAX(C8:D31)</f>
        <v>1892</v>
      </c>
    </row>
    <row r="35" spans="1:4" s="2" customFormat="1" ht="15.75">
      <c r="A35" s="138"/>
      <c r="B35" s="110" t="s">
        <v>54</v>
      </c>
      <c r="D35" s="217">
        <f>D33/D34</f>
        <v>0.8298317477096547</v>
      </c>
    </row>
    <row r="36" ht="12.75"/>
    <row r="37" ht="12.75"/>
    <row r="38" spans="1:2" ht="12.75">
      <c r="A38" s="138"/>
      <c r="B38" s="2"/>
    </row>
    <row r="39" spans="1:2" ht="12.75">
      <c r="A39" s="138"/>
      <c r="B39" s="2"/>
    </row>
  </sheetData>
  <sheetProtection/>
  <mergeCells count="30">
    <mergeCell ref="C21:D21"/>
    <mergeCell ref="C22:D22"/>
    <mergeCell ref="C23:D23"/>
    <mergeCell ref="C30:D30"/>
    <mergeCell ref="C31:D31"/>
    <mergeCell ref="C32:D32"/>
    <mergeCell ref="C24:D24"/>
    <mergeCell ref="C25:D25"/>
    <mergeCell ref="C26:D26"/>
    <mergeCell ref="C27:D27"/>
    <mergeCell ref="C28:D28"/>
    <mergeCell ref="C29:D29"/>
    <mergeCell ref="C15:D15"/>
    <mergeCell ref="C16:D16"/>
    <mergeCell ref="C17:D17"/>
    <mergeCell ref="C18:D18"/>
    <mergeCell ref="C19:D19"/>
    <mergeCell ref="C20:D20"/>
    <mergeCell ref="C11:D11"/>
    <mergeCell ref="B4:B6"/>
    <mergeCell ref="C4:D6"/>
    <mergeCell ref="C12:D12"/>
    <mergeCell ref="C13:D13"/>
    <mergeCell ref="C14:D14"/>
    <mergeCell ref="A1:E1"/>
    <mergeCell ref="A2:E2"/>
    <mergeCell ref="C7:D7"/>
    <mergeCell ref="C8:D8"/>
    <mergeCell ref="C9:D9"/>
    <mergeCell ref="C10:D10"/>
  </mergeCells>
  <printOptions horizontalCentered="1"/>
  <pageMargins left="0" right="0" top="0.41" bottom="0.16" header="0.5118110236220472" footer="0.16"/>
  <pageSetup fitToWidth="0" fitToHeight="1" horizontalDpi="1200" verticalDpi="1200" orientation="landscape" paperSize="9" scale="72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4"/>
  <sheetViews>
    <sheetView view="pageBreakPreview" zoomScale="85" zoomScaleNormal="85" zoomScaleSheetLayoutView="85" zoomScalePageLayoutView="0" workbookViewId="0" topLeftCell="A1">
      <pane ySplit="8" topLeftCell="A9" activePane="bottomLeft" state="frozen"/>
      <selection pane="topLeft" activeCell="H17" sqref="H17"/>
      <selection pane="bottomLeft" activeCell="J16" sqref="J16"/>
    </sheetView>
  </sheetViews>
  <sheetFormatPr defaultColWidth="9.140625" defaultRowHeight="12.75"/>
  <cols>
    <col min="1" max="1" width="9.7109375" style="0" customWidth="1"/>
    <col min="2" max="10" width="13.00390625" style="0" customWidth="1"/>
    <col min="11" max="11" width="16.140625" style="0" customWidth="1"/>
  </cols>
  <sheetData>
    <row r="1" spans="1:11" ht="12.75">
      <c r="A1" s="488"/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30" customHeight="1">
      <c r="A2" s="826" t="s">
        <v>341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</row>
    <row r="3" spans="1:11" ht="21.75" customHeight="1">
      <c r="A3" s="826" t="str">
        <f>Дата!B2</f>
        <v>19 июня 2019 год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</row>
    <row r="4" spans="1:11" ht="21.75" customHeight="1">
      <c r="A4" s="830" t="s">
        <v>342</v>
      </c>
      <c r="B4" s="830"/>
      <c r="C4" s="830"/>
      <c r="D4" s="830"/>
      <c r="E4" s="830"/>
      <c r="F4" s="830"/>
      <c r="G4" s="830"/>
      <c r="H4" s="830"/>
      <c r="I4" s="830"/>
      <c r="J4" s="830"/>
      <c r="K4" s="830"/>
    </row>
    <row r="5" spans="1:11" ht="16.5" thickBot="1">
      <c r="A5" s="826"/>
      <c r="B5" s="826"/>
      <c r="C5" s="826"/>
      <c r="D5" s="826"/>
      <c r="E5" s="826"/>
      <c r="F5" s="826"/>
      <c r="G5" s="826"/>
      <c r="H5" s="826"/>
      <c r="I5" s="826"/>
      <c r="J5" s="826"/>
      <c r="K5" s="826"/>
    </row>
    <row r="6" spans="1:11" ht="60.75" thickBot="1">
      <c r="A6" s="827" t="s">
        <v>22</v>
      </c>
      <c r="B6" s="489" t="str">
        <f>Пойковский!C6</f>
        <v>ПС 110/35/6 "Пойковская" Поселок-1  (№сч. 0804150985)</v>
      </c>
      <c r="C6" s="490" t="s">
        <v>41</v>
      </c>
      <c r="D6" s="491" t="s">
        <v>233</v>
      </c>
      <c r="E6" s="491" t="s">
        <v>234</v>
      </c>
      <c r="F6" s="491" t="s">
        <v>235</v>
      </c>
      <c r="G6" s="489" t="s">
        <v>236</v>
      </c>
      <c r="H6" s="491" t="s">
        <v>217</v>
      </c>
      <c r="I6" s="491" t="s">
        <v>48</v>
      </c>
      <c r="J6" s="492" t="s">
        <v>218</v>
      </c>
      <c r="K6" s="493" t="s">
        <v>219</v>
      </c>
    </row>
    <row r="7" spans="1:11" ht="13.5" thickBot="1">
      <c r="A7" s="828"/>
      <c r="B7" s="494" t="s">
        <v>37</v>
      </c>
      <c r="C7" s="494" t="s">
        <v>37</v>
      </c>
      <c r="D7" s="494" t="s">
        <v>37</v>
      </c>
      <c r="E7" s="494" t="s">
        <v>37</v>
      </c>
      <c r="F7" s="494" t="s">
        <v>37</v>
      </c>
      <c r="G7" s="494" t="s">
        <v>37</v>
      </c>
      <c r="H7" s="494" t="s">
        <v>37</v>
      </c>
      <c r="I7" s="494" t="s">
        <v>37</v>
      </c>
      <c r="J7" s="495" t="s">
        <v>37</v>
      </c>
      <c r="K7" s="494" t="s">
        <v>37</v>
      </c>
    </row>
    <row r="8" spans="1:11" ht="13.5" thickBot="1">
      <c r="A8" s="829"/>
      <c r="B8" s="496" t="s">
        <v>220</v>
      </c>
      <c r="C8" s="496" t="s">
        <v>220</v>
      </c>
      <c r="D8" s="496" t="s">
        <v>220</v>
      </c>
      <c r="E8" s="496" t="s">
        <v>220</v>
      </c>
      <c r="F8" s="496" t="s">
        <v>220</v>
      </c>
      <c r="G8" s="496" t="s">
        <v>220</v>
      </c>
      <c r="H8" s="496" t="s">
        <v>220</v>
      </c>
      <c r="I8" s="496" t="s">
        <v>220</v>
      </c>
      <c r="J8" s="497" t="s">
        <v>220</v>
      </c>
      <c r="K8" s="496" t="s">
        <v>220</v>
      </c>
    </row>
    <row r="9" spans="1:11" ht="12.75">
      <c r="A9" s="498">
        <v>2</v>
      </c>
      <c r="B9" s="501"/>
      <c r="C9" s="499"/>
      <c r="D9" s="499"/>
      <c r="E9" s="500"/>
      <c r="F9" s="500"/>
      <c r="G9" s="501"/>
      <c r="H9" s="502"/>
      <c r="I9" s="502"/>
      <c r="J9" s="503"/>
      <c r="K9" s="502"/>
    </row>
    <row r="10" spans="1:11" ht="12.75">
      <c r="A10" s="504">
        <v>3</v>
      </c>
      <c r="B10" s="507">
        <v>1167.6</v>
      </c>
      <c r="C10" s="505">
        <v>1646.4</v>
      </c>
      <c r="D10" s="506">
        <v>455.04</v>
      </c>
      <c r="E10" s="507">
        <v>312</v>
      </c>
      <c r="F10" s="507">
        <v>0.174</v>
      </c>
      <c r="G10" s="507">
        <v>0.018</v>
      </c>
      <c r="H10" s="507">
        <f>ROUND(B10+D10+F10,2)</f>
        <v>1622.81</v>
      </c>
      <c r="I10" s="507">
        <f>ROUND(C10+E10+G10,2)</f>
        <v>1958.42</v>
      </c>
      <c r="J10" s="508">
        <v>0</v>
      </c>
      <c r="K10" s="507">
        <f>ROUND(H10+I10-J10,2)</f>
        <v>3581.23</v>
      </c>
    </row>
    <row r="11" spans="1:11" ht="12.75">
      <c r="A11" s="504">
        <v>4</v>
      </c>
      <c r="B11" s="507">
        <v>1108.8</v>
      </c>
      <c r="C11" s="505">
        <v>1566.6</v>
      </c>
      <c r="D11" s="506">
        <v>441.6</v>
      </c>
      <c r="E11" s="507">
        <v>295.68</v>
      </c>
      <c r="F11" s="507">
        <v>0.078</v>
      </c>
      <c r="G11" s="507">
        <v>0.012</v>
      </c>
      <c r="H11" s="507">
        <f aca="true" t="shared" si="0" ref="H11:H33">ROUND(B11+D11+F11,2)</f>
        <v>1550.48</v>
      </c>
      <c r="I11" s="507">
        <f aca="true" t="shared" si="1" ref="I11:I33">ROUND(C11+E11+G11,2)</f>
        <v>1862.29</v>
      </c>
      <c r="J11" s="508">
        <v>0</v>
      </c>
      <c r="K11" s="507">
        <f aca="true" t="shared" si="2" ref="K11:K33">ROUND(H11+I11-J11,2)</f>
        <v>3412.77</v>
      </c>
    </row>
    <row r="12" spans="1:11" ht="12.75">
      <c r="A12" s="504">
        <v>5</v>
      </c>
      <c r="B12" s="507">
        <v>1138.2</v>
      </c>
      <c r="C12" s="505">
        <v>1566.6</v>
      </c>
      <c r="D12" s="506">
        <v>414.72</v>
      </c>
      <c r="E12" s="507">
        <v>314.88</v>
      </c>
      <c r="F12" s="507">
        <v>0.078</v>
      </c>
      <c r="G12" s="507">
        <v>0.018</v>
      </c>
      <c r="H12" s="507">
        <f t="shared" si="0"/>
        <v>1553</v>
      </c>
      <c r="I12" s="507">
        <f t="shared" si="1"/>
        <v>1881.5</v>
      </c>
      <c r="J12" s="508">
        <v>0</v>
      </c>
      <c r="K12" s="507">
        <f t="shared" si="2"/>
        <v>3434.5</v>
      </c>
    </row>
    <row r="13" spans="1:11" ht="12.75">
      <c r="A13" s="504">
        <v>6</v>
      </c>
      <c r="B13" s="507">
        <v>1272.6</v>
      </c>
      <c r="C13" s="505">
        <v>1764</v>
      </c>
      <c r="D13" s="506">
        <v>413.76</v>
      </c>
      <c r="E13" s="507">
        <v>326.4</v>
      </c>
      <c r="F13" s="507">
        <v>0.078</v>
      </c>
      <c r="G13" s="507">
        <v>0.018</v>
      </c>
      <c r="H13" s="507">
        <f>ROUND(B13+D13+F13,2)</f>
        <v>1686.44</v>
      </c>
      <c r="I13" s="507">
        <f t="shared" si="1"/>
        <v>2090.42</v>
      </c>
      <c r="J13" s="508">
        <v>0</v>
      </c>
      <c r="K13" s="507">
        <f t="shared" si="2"/>
        <v>3776.86</v>
      </c>
    </row>
    <row r="14" spans="1:11" ht="12.75">
      <c r="A14" s="504">
        <v>7</v>
      </c>
      <c r="B14" s="507">
        <v>1528.8</v>
      </c>
      <c r="C14" s="505">
        <v>2154.6</v>
      </c>
      <c r="D14" s="506">
        <v>429.12</v>
      </c>
      <c r="E14" s="507">
        <v>360.96</v>
      </c>
      <c r="F14" s="507">
        <v>0.078</v>
      </c>
      <c r="G14" s="507">
        <v>0.012</v>
      </c>
      <c r="H14" s="507">
        <f t="shared" si="0"/>
        <v>1958</v>
      </c>
      <c r="I14" s="507">
        <f t="shared" si="1"/>
        <v>2515.57</v>
      </c>
      <c r="J14" s="508">
        <v>0</v>
      </c>
      <c r="K14" s="507">
        <f t="shared" si="2"/>
        <v>4473.57</v>
      </c>
    </row>
    <row r="15" spans="1:11" ht="12.75">
      <c r="A15" s="504">
        <v>8</v>
      </c>
      <c r="B15" s="507">
        <v>1575</v>
      </c>
      <c r="C15" s="505">
        <v>2221.8</v>
      </c>
      <c r="D15" s="506">
        <v>423.36</v>
      </c>
      <c r="E15" s="507">
        <v>389.76</v>
      </c>
      <c r="F15" s="507">
        <v>0.078</v>
      </c>
      <c r="G15" s="507">
        <v>0.018</v>
      </c>
      <c r="H15" s="507">
        <f t="shared" si="0"/>
        <v>1998.44</v>
      </c>
      <c r="I15" s="507">
        <f t="shared" si="1"/>
        <v>2611.58</v>
      </c>
      <c r="J15" s="508">
        <v>0</v>
      </c>
      <c r="K15" s="507">
        <f t="shared" si="2"/>
        <v>4610.02</v>
      </c>
    </row>
    <row r="16" spans="1:11" ht="12.75">
      <c r="A16" s="504">
        <v>9</v>
      </c>
      <c r="B16" s="507">
        <v>1667.4</v>
      </c>
      <c r="C16" s="505">
        <v>2335.2</v>
      </c>
      <c r="D16" s="506">
        <v>490.56</v>
      </c>
      <c r="E16" s="507">
        <v>417.6</v>
      </c>
      <c r="F16" s="507">
        <v>0.078</v>
      </c>
      <c r="G16" s="507">
        <v>0.012</v>
      </c>
      <c r="H16" s="507">
        <f t="shared" si="0"/>
        <v>2158.04</v>
      </c>
      <c r="I16" s="507">
        <f t="shared" si="1"/>
        <v>2752.81</v>
      </c>
      <c r="J16" s="508">
        <v>0</v>
      </c>
      <c r="K16" s="507">
        <f t="shared" si="2"/>
        <v>4910.85</v>
      </c>
    </row>
    <row r="17" spans="1:11" ht="12.75">
      <c r="A17" s="504">
        <v>10</v>
      </c>
      <c r="B17" s="507">
        <v>1814.4</v>
      </c>
      <c r="C17" s="505">
        <v>2478</v>
      </c>
      <c r="D17" s="506">
        <v>534.72</v>
      </c>
      <c r="E17" s="507">
        <v>474.24</v>
      </c>
      <c r="F17" s="507">
        <v>0.078</v>
      </c>
      <c r="G17" s="507">
        <v>0.018</v>
      </c>
      <c r="H17" s="507">
        <f t="shared" si="0"/>
        <v>2349.2</v>
      </c>
      <c r="I17" s="507">
        <f t="shared" si="1"/>
        <v>2952.26</v>
      </c>
      <c r="J17" s="508">
        <v>0</v>
      </c>
      <c r="K17" s="507">
        <f t="shared" si="2"/>
        <v>5301.46</v>
      </c>
    </row>
    <row r="18" spans="1:11" ht="12.75">
      <c r="A18" s="504">
        <v>11</v>
      </c>
      <c r="B18" s="507">
        <v>1877.4</v>
      </c>
      <c r="C18" s="505">
        <v>2507.4</v>
      </c>
      <c r="D18" s="506">
        <v>542.4</v>
      </c>
      <c r="E18" s="507">
        <v>488.64</v>
      </c>
      <c r="F18" s="507">
        <v>0.078</v>
      </c>
      <c r="G18" s="507">
        <v>0.012</v>
      </c>
      <c r="H18" s="507">
        <f t="shared" si="0"/>
        <v>2419.88</v>
      </c>
      <c r="I18" s="507">
        <f t="shared" si="1"/>
        <v>2996.05</v>
      </c>
      <c r="J18" s="508">
        <v>0</v>
      </c>
      <c r="K18" s="507">
        <f t="shared" si="2"/>
        <v>5415.93</v>
      </c>
    </row>
    <row r="19" spans="1:11" ht="12.75">
      <c r="A19" s="504">
        <v>12</v>
      </c>
      <c r="B19" s="507">
        <v>1898.4</v>
      </c>
      <c r="C19" s="505">
        <v>2562</v>
      </c>
      <c r="D19" s="506">
        <v>538.56</v>
      </c>
      <c r="E19" s="507">
        <v>473.28</v>
      </c>
      <c r="F19" s="507">
        <v>0.078</v>
      </c>
      <c r="G19" s="507">
        <v>0.018</v>
      </c>
      <c r="H19" s="507">
        <f t="shared" si="0"/>
        <v>2437.04</v>
      </c>
      <c r="I19" s="507">
        <f t="shared" si="1"/>
        <v>3035.3</v>
      </c>
      <c r="J19" s="508">
        <v>0</v>
      </c>
      <c r="K19" s="507">
        <f t="shared" si="2"/>
        <v>5472.34</v>
      </c>
    </row>
    <row r="20" spans="1:11" ht="12.75">
      <c r="A20" s="504">
        <v>13</v>
      </c>
      <c r="B20" s="507">
        <v>1915.2</v>
      </c>
      <c r="C20" s="505">
        <v>2562</v>
      </c>
      <c r="D20" s="506">
        <v>478.08</v>
      </c>
      <c r="E20" s="507">
        <v>421.44</v>
      </c>
      <c r="F20" s="507">
        <v>0.078</v>
      </c>
      <c r="G20" s="507">
        <v>0.012</v>
      </c>
      <c r="H20" s="507">
        <f t="shared" si="0"/>
        <v>2393.36</v>
      </c>
      <c r="I20" s="507">
        <f t="shared" si="1"/>
        <v>2983.45</v>
      </c>
      <c r="J20" s="508">
        <v>0</v>
      </c>
      <c r="K20" s="507">
        <f t="shared" si="2"/>
        <v>5376.81</v>
      </c>
    </row>
    <row r="21" spans="1:11" ht="12.75">
      <c r="A21" s="504">
        <v>14</v>
      </c>
      <c r="B21" s="507">
        <v>1835.4</v>
      </c>
      <c r="C21" s="505">
        <v>2553.6</v>
      </c>
      <c r="D21" s="506">
        <v>523.2</v>
      </c>
      <c r="E21" s="507">
        <v>489.6</v>
      </c>
      <c r="F21" s="507">
        <v>0.078</v>
      </c>
      <c r="G21" s="507">
        <v>0.018</v>
      </c>
      <c r="H21" s="507">
        <f t="shared" si="0"/>
        <v>2358.68</v>
      </c>
      <c r="I21" s="507">
        <f t="shared" si="1"/>
        <v>3043.22</v>
      </c>
      <c r="J21" s="508">
        <v>0</v>
      </c>
      <c r="K21" s="507">
        <f t="shared" si="2"/>
        <v>5401.9</v>
      </c>
    </row>
    <row r="22" spans="1:11" ht="12.75">
      <c r="A22" s="504">
        <v>15</v>
      </c>
      <c r="B22" s="507">
        <v>1734.6</v>
      </c>
      <c r="C22" s="505">
        <v>2465.4</v>
      </c>
      <c r="D22" s="506">
        <v>528</v>
      </c>
      <c r="E22" s="507">
        <v>464.64</v>
      </c>
      <c r="F22" s="507">
        <v>0.078</v>
      </c>
      <c r="G22" s="507">
        <v>0.018</v>
      </c>
      <c r="H22" s="507">
        <f t="shared" si="0"/>
        <v>2262.68</v>
      </c>
      <c r="I22" s="507">
        <f t="shared" si="1"/>
        <v>2930.06</v>
      </c>
      <c r="J22" s="508">
        <v>0</v>
      </c>
      <c r="K22" s="507">
        <f t="shared" si="2"/>
        <v>5192.74</v>
      </c>
    </row>
    <row r="23" spans="1:11" ht="12.75">
      <c r="A23" s="504">
        <v>16</v>
      </c>
      <c r="B23" s="507">
        <v>1764</v>
      </c>
      <c r="C23" s="505">
        <v>2452.8</v>
      </c>
      <c r="D23" s="506">
        <v>488.64</v>
      </c>
      <c r="E23" s="507">
        <v>509.76</v>
      </c>
      <c r="F23" s="507">
        <v>0.078</v>
      </c>
      <c r="G23" s="507">
        <v>0.012</v>
      </c>
      <c r="H23" s="507">
        <f t="shared" si="0"/>
        <v>2252.72</v>
      </c>
      <c r="I23" s="507">
        <f t="shared" si="1"/>
        <v>2962.57</v>
      </c>
      <c r="J23" s="508">
        <v>0</v>
      </c>
      <c r="K23" s="507">
        <f t="shared" si="2"/>
        <v>5215.29</v>
      </c>
    </row>
    <row r="24" spans="1:11" ht="12.75">
      <c r="A24" s="504">
        <v>17</v>
      </c>
      <c r="B24" s="507">
        <v>1743</v>
      </c>
      <c r="C24" s="505">
        <v>2373</v>
      </c>
      <c r="D24" s="506">
        <v>505.92</v>
      </c>
      <c r="E24" s="507">
        <v>476.16</v>
      </c>
      <c r="F24" s="507">
        <v>0.078</v>
      </c>
      <c r="G24" s="507">
        <v>0.018</v>
      </c>
      <c r="H24" s="507">
        <f t="shared" si="0"/>
        <v>2249</v>
      </c>
      <c r="I24" s="507">
        <f t="shared" si="1"/>
        <v>2849.18</v>
      </c>
      <c r="J24" s="508">
        <v>0</v>
      </c>
      <c r="K24" s="507">
        <f t="shared" si="2"/>
        <v>5098.18</v>
      </c>
    </row>
    <row r="25" spans="1:11" ht="12.75">
      <c r="A25" s="504">
        <v>18</v>
      </c>
      <c r="B25" s="507">
        <v>1755.6</v>
      </c>
      <c r="C25" s="505">
        <v>2457</v>
      </c>
      <c r="D25" s="506">
        <v>478.08</v>
      </c>
      <c r="E25" s="507">
        <v>422.4</v>
      </c>
      <c r="F25" s="507">
        <v>0.078</v>
      </c>
      <c r="G25" s="507">
        <v>0.012</v>
      </c>
      <c r="H25" s="507">
        <f t="shared" si="0"/>
        <v>2233.76</v>
      </c>
      <c r="I25" s="507">
        <f t="shared" si="1"/>
        <v>2879.41</v>
      </c>
      <c r="J25" s="508">
        <v>0</v>
      </c>
      <c r="K25" s="507">
        <f>ROUND(H25+I25-J25,2)</f>
        <v>5113.17</v>
      </c>
    </row>
    <row r="26" spans="1:11" ht="12.75">
      <c r="A26" s="504">
        <v>19</v>
      </c>
      <c r="B26" s="507">
        <v>1831.2</v>
      </c>
      <c r="C26" s="505">
        <v>2507.4</v>
      </c>
      <c r="D26" s="506">
        <v>461.76</v>
      </c>
      <c r="E26" s="507">
        <v>417.6</v>
      </c>
      <c r="F26" s="507">
        <v>0.078</v>
      </c>
      <c r="G26" s="507">
        <v>0.018</v>
      </c>
      <c r="H26" s="507">
        <f t="shared" si="0"/>
        <v>2293.04</v>
      </c>
      <c r="I26" s="507">
        <f t="shared" si="1"/>
        <v>2925.02</v>
      </c>
      <c r="J26" s="508">
        <v>0</v>
      </c>
      <c r="K26" s="507">
        <f t="shared" si="2"/>
        <v>5218.06</v>
      </c>
    </row>
    <row r="27" spans="1:11" ht="12.75">
      <c r="A27" s="504">
        <v>20</v>
      </c>
      <c r="B27" s="507">
        <v>1881.6</v>
      </c>
      <c r="C27" s="505">
        <v>2604</v>
      </c>
      <c r="D27" s="506">
        <v>475.2</v>
      </c>
      <c r="E27" s="507">
        <v>398.4</v>
      </c>
      <c r="F27" s="507">
        <v>0.15</v>
      </c>
      <c r="G27" s="507">
        <v>0.018</v>
      </c>
      <c r="H27" s="507">
        <f t="shared" si="0"/>
        <v>2356.95</v>
      </c>
      <c r="I27" s="507">
        <f t="shared" si="1"/>
        <v>3002.42</v>
      </c>
      <c r="J27" s="508">
        <v>0</v>
      </c>
      <c r="K27" s="507">
        <f t="shared" si="2"/>
        <v>5359.37</v>
      </c>
    </row>
    <row r="28" spans="1:11" ht="12.75">
      <c r="A28" s="504">
        <v>21</v>
      </c>
      <c r="B28" s="507">
        <v>1961.4</v>
      </c>
      <c r="C28" s="505">
        <v>2843.4</v>
      </c>
      <c r="D28" s="506">
        <v>517.44</v>
      </c>
      <c r="E28" s="507">
        <v>437.76</v>
      </c>
      <c r="F28" s="507">
        <v>0.078</v>
      </c>
      <c r="G28" s="507">
        <v>0.012</v>
      </c>
      <c r="H28" s="507">
        <f t="shared" si="0"/>
        <v>2478.92</v>
      </c>
      <c r="I28" s="507">
        <f t="shared" si="1"/>
        <v>3281.17</v>
      </c>
      <c r="J28" s="508">
        <v>0</v>
      </c>
      <c r="K28" s="507">
        <f t="shared" si="2"/>
        <v>5760.09</v>
      </c>
    </row>
    <row r="29" spans="1:11" ht="12.75">
      <c r="A29" s="504">
        <v>22</v>
      </c>
      <c r="B29" s="507">
        <v>2007.6</v>
      </c>
      <c r="C29" s="505">
        <v>2910.6</v>
      </c>
      <c r="D29" s="506">
        <v>538.56</v>
      </c>
      <c r="E29" s="507">
        <v>457.92</v>
      </c>
      <c r="F29" s="507">
        <v>0.078</v>
      </c>
      <c r="G29" s="507">
        <v>0.018</v>
      </c>
      <c r="H29" s="507">
        <f t="shared" si="0"/>
        <v>2546.24</v>
      </c>
      <c r="I29" s="507">
        <f t="shared" si="1"/>
        <v>3368.54</v>
      </c>
      <c r="J29" s="508">
        <v>0</v>
      </c>
      <c r="K29" s="507">
        <f t="shared" si="2"/>
        <v>5914.78</v>
      </c>
    </row>
    <row r="30" spans="1:11" ht="12.75">
      <c r="A30" s="504">
        <v>23</v>
      </c>
      <c r="B30" s="507">
        <v>1890</v>
      </c>
      <c r="C30" s="505">
        <v>2763.6</v>
      </c>
      <c r="D30" s="506">
        <v>518.4</v>
      </c>
      <c r="E30" s="507">
        <v>436.8</v>
      </c>
      <c r="F30" s="507">
        <v>0.258</v>
      </c>
      <c r="G30" s="507">
        <v>0.012</v>
      </c>
      <c r="H30" s="507">
        <f t="shared" si="0"/>
        <v>2408.66</v>
      </c>
      <c r="I30" s="507">
        <f t="shared" si="1"/>
        <v>3200.41</v>
      </c>
      <c r="J30" s="508">
        <v>0</v>
      </c>
      <c r="K30" s="507">
        <f t="shared" si="2"/>
        <v>5609.07</v>
      </c>
    </row>
    <row r="31" spans="1:11" ht="12.75">
      <c r="A31" s="504">
        <v>24</v>
      </c>
      <c r="B31" s="507">
        <v>1583.4</v>
      </c>
      <c r="C31" s="505">
        <v>2335.2</v>
      </c>
      <c r="D31" s="506">
        <v>519.36</v>
      </c>
      <c r="E31" s="507">
        <v>391.68</v>
      </c>
      <c r="F31" s="507">
        <v>0.408</v>
      </c>
      <c r="G31" s="507">
        <v>0.018</v>
      </c>
      <c r="H31" s="507">
        <f t="shared" si="0"/>
        <v>2103.17</v>
      </c>
      <c r="I31" s="507">
        <f t="shared" si="1"/>
        <v>2726.9</v>
      </c>
      <c r="J31" s="508">
        <v>0</v>
      </c>
      <c r="K31" s="507">
        <f t="shared" si="2"/>
        <v>4830.07</v>
      </c>
    </row>
    <row r="32" spans="1:11" ht="12.75">
      <c r="A32" s="504">
        <v>1</v>
      </c>
      <c r="B32" s="507">
        <v>1327.2</v>
      </c>
      <c r="C32" s="505">
        <v>1957.2</v>
      </c>
      <c r="D32" s="506">
        <v>447.36</v>
      </c>
      <c r="E32" s="507">
        <v>385.92</v>
      </c>
      <c r="F32" s="507">
        <v>0.402</v>
      </c>
      <c r="G32" s="507">
        <v>0.018</v>
      </c>
      <c r="H32" s="507">
        <f t="shared" si="0"/>
        <v>1774.96</v>
      </c>
      <c r="I32" s="507">
        <f t="shared" si="1"/>
        <v>2343.14</v>
      </c>
      <c r="J32" s="508">
        <v>0</v>
      </c>
      <c r="K32" s="507">
        <f t="shared" si="2"/>
        <v>4118.1</v>
      </c>
    </row>
    <row r="33" spans="1:11" ht="13.5" thickBot="1">
      <c r="A33" s="509">
        <v>2</v>
      </c>
      <c r="B33" s="530">
        <v>1146.6</v>
      </c>
      <c r="C33" s="505">
        <v>1734.6</v>
      </c>
      <c r="D33" s="506">
        <v>458.88</v>
      </c>
      <c r="E33" s="507">
        <v>350.4</v>
      </c>
      <c r="F33" s="507">
        <v>0.408</v>
      </c>
      <c r="G33" s="507">
        <v>0.012</v>
      </c>
      <c r="H33" s="507">
        <f t="shared" si="0"/>
        <v>1605.89</v>
      </c>
      <c r="I33" s="507">
        <f t="shared" si="1"/>
        <v>2085.01</v>
      </c>
      <c r="J33" s="508">
        <v>0</v>
      </c>
      <c r="K33" s="507">
        <f t="shared" si="2"/>
        <v>3690.9</v>
      </c>
    </row>
    <row r="34" spans="1:11" s="629" customFormat="1" ht="26.25" thickBot="1">
      <c r="A34" s="625" t="s">
        <v>14</v>
      </c>
      <c r="B34" s="649">
        <f aca="true" t="shared" si="3" ref="B34:J34">SUM(B10:B33)</f>
        <v>39425.399999999994</v>
      </c>
      <c r="C34" s="650">
        <f t="shared" si="3"/>
        <v>55322.399999999994</v>
      </c>
      <c r="D34" s="650">
        <f t="shared" si="3"/>
        <v>11622.720000000001</v>
      </c>
      <c r="E34" s="650">
        <f t="shared" si="3"/>
        <v>9913.92</v>
      </c>
      <c r="F34" s="650">
        <f t="shared" si="3"/>
        <v>3.204</v>
      </c>
      <c r="G34" s="650">
        <f t="shared" si="3"/>
        <v>0.3720000000000001</v>
      </c>
      <c r="H34" s="651">
        <f>SUM(H10:H33)</f>
        <v>51051.35999999999</v>
      </c>
      <c r="I34" s="651">
        <f>SUM(I10:I33)</f>
        <v>65236.7</v>
      </c>
      <c r="J34" s="652">
        <f t="shared" si="3"/>
        <v>0</v>
      </c>
      <c r="K34" s="651">
        <f>H34+I34-J34</f>
        <v>116288.06</v>
      </c>
    </row>
    <row r="35" spans="1:11" ht="15.75">
      <c r="A35" s="510"/>
      <c r="B35" s="511"/>
      <c r="C35" s="511"/>
      <c r="D35" s="511"/>
      <c r="E35" s="511"/>
      <c r="F35" s="511"/>
      <c r="G35" s="511"/>
      <c r="H35" s="511"/>
      <c r="I35" s="511"/>
      <c r="J35" s="630" t="s">
        <v>50</v>
      </c>
      <c r="K35" s="632">
        <f>ROUND(K34/24,2)</f>
        <v>4845.34</v>
      </c>
    </row>
    <row r="36" spans="1:11" ht="15.75">
      <c r="A36" s="510"/>
      <c r="B36" s="511"/>
      <c r="C36" s="511"/>
      <c r="D36" s="511"/>
      <c r="E36" s="511"/>
      <c r="F36" s="511"/>
      <c r="G36" s="511"/>
      <c r="H36" s="511"/>
      <c r="I36" s="511"/>
      <c r="J36" s="630" t="s">
        <v>51</v>
      </c>
      <c r="K36" s="632">
        <f>MAX(K10:K33)</f>
        <v>5914.78</v>
      </c>
    </row>
    <row r="37" spans="1:11" ht="15.75">
      <c r="A37" s="488"/>
      <c r="B37" s="488"/>
      <c r="C37" s="488"/>
      <c r="D37" s="512"/>
      <c r="E37" s="512"/>
      <c r="F37" s="512"/>
      <c r="G37" s="512"/>
      <c r="H37" s="510"/>
      <c r="I37" s="510"/>
      <c r="J37" s="631" t="s">
        <v>54</v>
      </c>
      <c r="K37" s="632">
        <f>ROUND(K35/K36,2)</f>
        <v>0.82</v>
      </c>
    </row>
    <row r="38" spans="1:11" ht="12.75">
      <c r="A38" s="488"/>
      <c r="B38" s="488"/>
      <c r="C38" s="488"/>
      <c r="D38" s="488"/>
      <c r="E38" s="488"/>
      <c r="F38" s="514"/>
      <c r="G38" s="514"/>
      <c r="H38" s="514"/>
      <c r="I38" s="488"/>
      <c r="J38" s="488"/>
      <c r="K38" s="488"/>
    </row>
    <row r="39" spans="1:11" ht="12.75">
      <c r="A39" s="488"/>
      <c r="B39" s="488"/>
      <c r="C39" s="488"/>
      <c r="D39" s="488"/>
      <c r="E39" s="488"/>
      <c r="F39" s="488"/>
      <c r="G39" s="488"/>
      <c r="H39" s="488"/>
      <c r="I39" s="488"/>
      <c r="J39" s="488"/>
      <c r="K39" s="488"/>
    </row>
    <row r="40" spans="1:11" ht="12.75">
      <c r="A40" s="488"/>
      <c r="B40" s="517" t="s">
        <v>238</v>
      </c>
      <c r="C40" s="517"/>
      <c r="D40" s="488"/>
      <c r="E40" s="488"/>
      <c r="F40" s="488"/>
      <c r="G40" s="824" t="s">
        <v>256</v>
      </c>
      <c r="H40" s="824"/>
      <c r="I40" s="824"/>
      <c r="J40" s="488"/>
      <c r="K40" s="488"/>
    </row>
    <row r="41" spans="1:11" ht="12.75">
      <c r="A41" s="488"/>
      <c r="B41" s="825" t="s">
        <v>210</v>
      </c>
      <c r="C41" s="825"/>
      <c r="D41" s="488"/>
      <c r="E41" s="488"/>
      <c r="F41" s="488"/>
      <c r="G41" s="518" t="s">
        <v>246</v>
      </c>
      <c r="H41" s="519"/>
      <c r="I41" s="488"/>
      <c r="J41" s="488"/>
      <c r="K41" s="488"/>
    </row>
    <row r="42" spans="1:11" ht="12.75">
      <c r="A42" s="488"/>
      <c r="B42" s="515"/>
      <c r="C42" s="515"/>
      <c r="D42" s="513"/>
      <c r="E42" s="513"/>
      <c r="F42" s="513"/>
      <c r="G42" s="513"/>
      <c r="H42" s="488"/>
      <c r="I42" s="488"/>
      <c r="J42" s="488"/>
      <c r="K42" s="488"/>
    </row>
    <row r="43" spans="1:11" ht="12.75">
      <c r="A43" s="488"/>
      <c r="B43" s="516"/>
      <c r="C43" s="516"/>
      <c r="D43" s="488"/>
      <c r="E43" s="488"/>
      <c r="F43" s="488"/>
      <c r="G43" s="516"/>
      <c r="H43" s="516"/>
      <c r="I43" s="488"/>
      <c r="J43" s="488"/>
      <c r="K43" s="488"/>
    </row>
    <row r="44" spans="1:11" ht="12.75">
      <c r="A44" s="488"/>
      <c r="B44" s="488"/>
      <c r="C44" s="488"/>
      <c r="D44" s="488"/>
      <c r="E44" s="488"/>
      <c r="F44" s="488"/>
      <c r="G44" s="488"/>
      <c r="H44" s="488"/>
      <c r="I44" s="488"/>
      <c r="J44" s="488"/>
      <c r="K44" s="488"/>
    </row>
  </sheetData>
  <sheetProtection/>
  <mergeCells count="7">
    <mergeCell ref="G40:I40"/>
    <mergeCell ref="B41:C41"/>
    <mergeCell ref="A2:K2"/>
    <mergeCell ref="A5:K5"/>
    <mergeCell ref="A6:A8"/>
    <mergeCell ref="A3:K3"/>
    <mergeCell ref="A4:K4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4"/>
  <sheetViews>
    <sheetView view="pageBreakPreview" zoomScale="80" zoomScaleNormal="85" zoomScaleSheetLayoutView="80" zoomScalePageLayoutView="0" workbookViewId="0" topLeftCell="A1">
      <pane ySplit="8" topLeftCell="A9" activePane="bottomLeft" state="frozen"/>
      <selection pane="topLeft" activeCell="A2" sqref="A2:IV4"/>
      <selection pane="bottomLeft" activeCell="F10" sqref="F10:F33"/>
    </sheetView>
  </sheetViews>
  <sheetFormatPr defaultColWidth="9.140625" defaultRowHeight="12.75"/>
  <cols>
    <col min="3" max="3" width="9.7109375" style="0" customWidth="1"/>
    <col min="4" max="4" width="17.28125" style="0" customWidth="1"/>
    <col min="5" max="5" width="16.57421875" style="0" customWidth="1"/>
    <col min="6" max="6" width="19.7109375" style="0" customWidth="1"/>
    <col min="7" max="7" width="13.140625" style="0" customWidth="1"/>
  </cols>
  <sheetData>
    <row r="1" spans="3:6" ht="12.75">
      <c r="C1" s="488"/>
      <c r="D1" s="488"/>
      <c r="E1" s="488"/>
      <c r="F1" s="488"/>
    </row>
    <row r="2" spans="1:8" ht="30" customHeight="1">
      <c r="A2" s="826" t="s">
        <v>343</v>
      </c>
      <c r="B2" s="826"/>
      <c r="C2" s="826"/>
      <c r="D2" s="826"/>
      <c r="E2" s="826"/>
      <c r="F2" s="826"/>
      <c r="G2" s="826"/>
      <c r="H2" s="826"/>
    </row>
    <row r="3" spans="1:8" ht="20.25" customHeight="1">
      <c r="A3" s="826" t="str">
        <f>Дата!B2</f>
        <v>19 июня 2019 год</v>
      </c>
      <c r="B3" s="826"/>
      <c r="C3" s="826"/>
      <c r="D3" s="826"/>
      <c r="E3" s="826"/>
      <c r="F3" s="826"/>
      <c r="G3" s="826"/>
      <c r="H3" s="826"/>
    </row>
    <row r="4" spans="1:8" ht="20.25" customHeight="1">
      <c r="A4" s="830" t="s">
        <v>344</v>
      </c>
      <c r="B4" s="830"/>
      <c r="C4" s="830"/>
      <c r="D4" s="830"/>
      <c r="E4" s="830"/>
      <c r="F4" s="830"/>
      <c r="G4" s="830"/>
      <c r="H4" s="830"/>
    </row>
    <row r="5" spans="3:6" ht="13.5" thickBot="1">
      <c r="C5" s="488"/>
      <c r="D5" s="488"/>
      <c r="E5" s="488"/>
      <c r="F5" s="488"/>
    </row>
    <row r="6" spans="3:6" ht="36.75" thickBot="1">
      <c r="C6" s="827" t="s">
        <v>22</v>
      </c>
      <c r="D6" s="489" t="s">
        <v>314</v>
      </c>
      <c r="E6" s="490" t="s">
        <v>315</v>
      </c>
      <c r="F6" s="493" t="s">
        <v>219</v>
      </c>
    </row>
    <row r="7" spans="3:6" ht="13.5" thickBot="1">
      <c r="C7" s="828"/>
      <c r="D7" s="494" t="s">
        <v>37</v>
      </c>
      <c r="E7" s="494" t="s">
        <v>37</v>
      </c>
      <c r="F7" s="494" t="s">
        <v>37</v>
      </c>
    </row>
    <row r="8" spans="3:6" ht="13.5" thickBot="1">
      <c r="C8" s="829"/>
      <c r="D8" s="496" t="s">
        <v>220</v>
      </c>
      <c r="E8" s="496" t="s">
        <v>220</v>
      </c>
      <c r="F8" s="496" t="s">
        <v>220</v>
      </c>
    </row>
    <row r="9" spans="3:6" ht="12.75">
      <c r="C9" s="498">
        <v>2</v>
      </c>
      <c r="D9" s="501"/>
      <c r="E9" s="499"/>
      <c r="F9" s="502"/>
    </row>
    <row r="10" spans="3:6" ht="12.75">
      <c r="C10" s="504">
        <v>3</v>
      </c>
      <c r="D10" s="507">
        <v>156</v>
      </c>
      <c r="E10" s="505">
        <v>756.6</v>
      </c>
      <c r="F10" s="507">
        <f>D10+E10</f>
        <v>912.6</v>
      </c>
    </row>
    <row r="11" spans="3:6" ht="12.75">
      <c r="C11" s="504">
        <v>4</v>
      </c>
      <c r="D11" s="507">
        <v>142.8</v>
      </c>
      <c r="E11" s="505">
        <v>710.4</v>
      </c>
      <c r="F11" s="507">
        <f aca="true" t="shared" si="0" ref="F11:F33">D11+E11</f>
        <v>853.2</v>
      </c>
    </row>
    <row r="12" spans="3:6" ht="12.75">
      <c r="C12" s="504">
        <v>5</v>
      </c>
      <c r="D12" s="507">
        <v>146.4</v>
      </c>
      <c r="E12" s="505">
        <v>723.6</v>
      </c>
      <c r="F12" s="507">
        <f t="shared" si="0"/>
        <v>870</v>
      </c>
    </row>
    <row r="13" spans="3:6" ht="12.75">
      <c r="C13" s="504">
        <v>6</v>
      </c>
      <c r="D13" s="507">
        <v>148.2</v>
      </c>
      <c r="E13" s="505">
        <v>734.4</v>
      </c>
      <c r="F13" s="507">
        <f t="shared" si="0"/>
        <v>882.5999999999999</v>
      </c>
    </row>
    <row r="14" spans="3:6" ht="12.75">
      <c r="C14" s="504">
        <v>7</v>
      </c>
      <c r="D14" s="507">
        <v>151.2</v>
      </c>
      <c r="E14" s="505">
        <v>859.8</v>
      </c>
      <c r="F14" s="507">
        <f t="shared" si="0"/>
        <v>1011</v>
      </c>
    </row>
    <row r="15" spans="3:6" ht="12.75">
      <c r="C15" s="504">
        <v>8</v>
      </c>
      <c r="D15" s="507">
        <v>159</v>
      </c>
      <c r="E15" s="505">
        <v>984.6</v>
      </c>
      <c r="F15" s="507">
        <f t="shared" si="0"/>
        <v>1143.6</v>
      </c>
    </row>
    <row r="16" spans="3:6" ht="12.75">
      <c r="C16" s="504">
        <v>9</v>
      </c>
      <c r="D16" s="507">
        <v>169.2</v>
      </c>
      <c r="E16" s="505">
        <v>1000.8</v>
      </c>
      <c r="F16" s="507">
        <f t="shared" si="0"/>
        <v>1170</v>
      </c>
    </row>
    <row r="17" spans="3:6" ht="12.75">
      <c r="C17" s="504">
        <v>10</v>
      </c>
      <c r="D17" s="507">
        <v>171.6</v>
      </c>
      <c r="E17" s="505">
        <v>1036.8</v>
      </c>
      <c r="F17" s="507">
        <f t="shared" si="0"/>
        <v>1208.3999999999999</v>
      </c>
    </row>
    <row r="18" spans="3:6" ht="12.75">
      <c r="C18" s="504">
        <v>11</v>
      </c>
      <c r="D18" s="507">
        <v>166.2</v>
      </c>
      <c r="E18" s="505">
        <v>1003.2</v>
      </c>
      <c r="F18" s="507">
        <f t="shared" si="0"/>
        <v>1169.4</v>
      </c>
    </row>
    <row r="19" spans="3:6" ht="12.75">
      <c r="C19" s="504">
        <v>12</v>
      </c>
      <c r="D19" s="507">
        <v>163.2</v>
      </c>
      <c r="E19" s="505">
        <v>1017</v>
      </c>
      <c r="F19" s="507">
        <f t="shared" si="0"/>
        <v>1180.2</v>
      </c>
    </row>
    <row r="20" spans="3:6" ht="12.75">
      <c r="C20" s="504">
        <v>13</v>
      </c>
      <c r="D20" s="507">
        <v>177</v>
      </c>
      <c r="E20" s="505">
        <v>987.6</v>
      </c>
      <c r="F20" s="507">
        <f t="shared" si="0"/>
        <v>1164.6</v>
      </c>
    </row>
    <row r="21" spans="3:6" ht="12.75">
      <c r="C21" s="504">
        <v>14</v>
      </c>
      <c r="D21" s="507">
        <v>180.6</v>
      </c>
      <c r="E21" s="505">
        <v>920.4</v>
      </c>
      <c r="F21" s="507">
        <f t="shared" si="0"/>
        <v>1101</v>
      </c>
    </row>
    <row r="22" spans="3:6" ht="12.75">
      <c r="C22" s="504">
        <v>15</v>
      </c>
      <c r="D22" s="507">
        <v>205.8</v>
      </c>
      <c r="E22" s="505">
        <v>861</v>
      </c>
      <c r="F22" s="507">
        <f t="shared" si="0"/>
        <v>1066.8</v>
      </c>
    </row>
    <row r="23" spans="3:6" ht="12.75">
      <c r="C23" s="504">
        <v>16</v>
      </c>
      <c r="D23" s="507">
        <v>195</v>
      </c>
      <c r="E23" s="505">
        <v>864</v>
      </c>
      <c r="F23" s="507">
        <f t="shared" si="0"/>
        <v>1059</v>
      </c>
    </row>
    <row r="24" spans="3:6" ht="12.75">
      <c r="C24" s="504">
        <v>17</v>
      </c>
      <c r="D24" s="507">
        <v>190.2</v>
      </c>
      <c r="E24" s="505">
        <v>919.2</v>
      </c>
      <c r="F24" s="507">
        <f t="shared" si="0"/>
        <v>1109.4</v>
      </c>
    </row>
    <row r="25" spans="3:6" ht="12.75">
      <c r="C25" s="504">
        <v>18</v>
      </c>
      <c r="D25" s="507">
        <v>222.6</v>
      </c>
      <c r="E25" s="505">
        <v>951.6</v>
      </c>
      <c r="F25" s="507">
        <f t="shared" si="0"/>
        <v>1174.2</v>
      </c>
    </row>
    <row r="26" spans="3:6" ht="12.75">
      <c r="C26" s="504">
        <v>19</v>
      </c>
      <c r="D26" s="507">
        <v>215.4</v>
      </c>
      <c r="E26" s="505">
        <v>940.2</v>
      </c>
      <c r="F26" s="507">
        <f t="shared" si="0"/>
        <v>1155.6000000000001</v>
      </c>
    </row>
    <row r="27" spans="3:6" ht="12.75">
      <c r="C27" s="504">
        <v>20</v>
      </c>
      <c r="D27" s="507">
        <v>227.4</v>
      </c>
      <c r="E27" s="505">
        <v>927.6</v>
      </c>
      <c r="F27" s="507">
        <f t="shared" si="0"/>
        <v>1155</v>
      </c>
    </row>
    <row r="28" spans="3:6" ht="12.75">
      <c r="C28" s="504">
        <v>21</v>
      </c>
      <c r="D28" s="507">
        <v>231.6</v>
      </c>
      <c r="E28" s="505">
        <v>964.8</v>
      </c>
      <c r="F28" s="507">
        <f t="shared" si="0"/>
        <v>1196.3999999999999</v>
      </c>
    </row>
    <row r="29" spans="3:6" ht="12.75">
      <c r="C29" s="504">
        <v>22</v>
      </c>
      <c r="D29" s="507">
        <v>232.8</v>
      </c>
      <c r="E29" s="505">
        <v>1027.2</v>
      </c>
      <c r="F29" s="507">
        <f t="shared" si="0"/>
        <v>1260</v>
      </c>
    </row>
    <row r="30" spans="3:6" ht="12.75">
      <c r="C30" s="504">
        <v>23</v>
      </c>
      <c r="D30" s="507">
        <v>277.2</v>
      </c>
      <c r="E30" s="505">
        <v>1032</v>
      </c>
      <c r="F30" s="507">
        <f t="shared" si="0"/>
        <v>1309.2</v>
      </c>
    </row>
    <row r="31" spans="3:6" ht="12.75">
      <c r="C31" s="504">
        <v>24</v>
      </c>
      <c r="D31" s="507">
        <v>231</v>
      </c>
      <c r="E31" s="505">
        <v>948.6</v>
      </c>
      <c r="F31" s="507">
        <f t="shared" si="0"/>
        <v>1179.6</v>
      </c>
    </row>
    <row r="32" spans="3:6" ht="12.75">
      <c r="C32" s="504">
        <v>1</v>
      </c>
      <c r="D32" s="507">
        <v>213</v>
      </c>
      <c r="E32" s="505">
        <v>812.4</v>
      </c>
      <c r="F32" s="507">
        <f t="shared" si="0"/>
        <v>1025.4</v>
      </c>
    </row>
    <row r="33" spans="3:6" ht="13.5" thickBot="1">
      <c r="C33" s="509">
        <v>2</v>
      </c>
      <c r="D33" s="530">
        <v>203.4</v>
      </c>
      <c r="E33" s="505">
        <v>747</v>
      </c>
      <c r="F33" s="507">
        <f t="shared" si="0"/>
        <v>950.4</v>
      </c>
    </row>
    <row r="34" spans="3:6" s="629" customFormat="1" ht="26.25" thickBot="1">
      <c r="C34" s="625" t="s">
        <v>14</v>
      </c>
      <c r="D34" s="626">
        <f>SUM(D10:D33)</f>
        <v>4576.799999999999</v>
      </c>
      <c r="E34" s="627">
        <f>SUM(E10:E33)</f>
        <v>21730.800000000003</v>
      </c>
      <c r="F34" s="628">
        <f>D34+E34</f>
        <v>26307.600000000002</v>
      </c>
    </row>
    <row r="35" spans="3:6" ht="15.75">
      <c r="C35" s="510"/>
      <c r="D35" s="511"/>
      <c r="E35" s="511"/>
      <c r="F35" s="632">
        <f>ROUND(F34/24,2)</f>
        <v>1096.15</v>
      </c>
    </row>
    <row r="36" spans="3:6" ht="15.75">
      <c r="C36" s="510"/>
      <c r="D36" s="511"/>
      <c r="E36" s="511"/>
      <c r="F36" s="632">
        <f>MAX(F10:F33)</f>
        <v>1309.2</v>
      </c>
    </row>
    <row r="37" spans="3:6" ht="15.75">
      <c r="C37" s="488"/>
      <c r="D37" s="488"/>
      <c r="E37" s="488"/>
      <c r="F37" s="632">
        <f>ROUND(F35/F36,2)</f>
        <v>0.84</v>
      </c>
    </row>
    <row r="38" spans="3:6" ht="12.75">
      <c r="C38" s="488"/>
      <c r="D38" s="488"/>
      <c r="E38" s="488"/>
      <c r="F38" s="488"/>
    </row>
    <row r="39" spans="3:6" ht="12.75">
      <c r="C39" s="488"/>
      <c r="D39" s="488"/>
      <c r="E39" s="488"/>
      <c r="F39" s="488"/>
    </row>
    <row r="40" spans="3:6" ht="12.75">
      <c r="C40" s="488"/>
      <c r="D40" s="517" t="s">
        <v>238</v>
      </c>
      <c r="E40" s="517"/>
      <c r="F40" s="488"/>
    </row>
    <row r="41" spans="3:6" ht="12.75">
      <c r="C41" s="488"/>
      <c r="D41" s="825" t="s">
        <v>210</v>
      </c>
      <c r="E41" s="825"/>
      <c r="F41" s="488"/>
    </row>
    <row r="42" spans="3:6" ht="12.75">
      <c r="C42" s="488"/>
      <c r="D42" s="515"/>
      <c r="E42" s="515"/>
      <c r="F42" s="488"/>
    </row>
    <row r="43" spans="3:6" ht="12.75">
      <c r="C43" s="488"/>
      <c r="D43" s="516"/>
      <c r="E43" s="516"/>
      <c r="F43" s="488"/>
    </row>
    <row r="44" spans="3:6" ht="12.75">
      <c r="C44" s="488"/>
      <c r="D44" s="488"/>
      <c r="E44" s="488"/>
      <c r="F44" s="488"/>
    </row>
  </sheetData>
  <sheetProtection/>
  <mergeCells count="5">
    <mergeCell ref="C6:C8"/>
    <mergeCell ref="D41:E41"/>
    <mergeCell ref="A2:H2"/>
    <mergeCell ref="A3:H3"/>
    <mergeCell ref="A4:H4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3"/>
  <sheetViews>
    <sheetView view="pageBreakPreview" zoomScale="80" zoomScaleNormal="85" zoomScaleSheetLayoutView="80" zoomScalePageLayoutView="0" workbookViewId="0" topLeftCell="A1">
      <pane ySplit="7" topLeftCell="A8" activePane="bottomLeft" state="frozen"/>
      <selection pane="topLeft" activeCell="A2" sqref="A2:IV4"/>
      <selection pane="bottomLeft" activeCell="F9" sqref="F9:F32"/>
    </sheetView>
  </sheetViews>
  <sheetFormatPr defaultColWidth="9.140625" defaultRowHeight="12.75"/>
  <cols>
    <col min="3" max="3" width="9.7109375" style="0" customWidth="1"/>
    <col min="4" max="4" width="17.28125" style="0" customWidth="1"/>
    <col min="5" max="5" width="16.57421875" style="0" customWidth="1"/>
    <col min="6" max="6" width="19.7109375" style="0" customWidth="1"/>
    <col min="7" max="7" width="16.28125" style="0" customWidth="1"/>
  </cols>
  <sheetData>
    <row r="1" spans="1:8" ht="30" customHeight="1">
      <c r="A1" s="826" t="s">
        <v>343</v>
      </c>
      <c r="B1" s="826"/>
      <c r="C1" s="826"/>
      <c r="D1" s="826"/>
      <c r="E1" s="826"/>
      <c r="F1" s="826"/>
      <c r="G1" s="826"/>
      <c r="H1" s="826"/>
    </row>
    <row r="2" spans="1:8" ht="20.25" customHeight="1">
      <c r="A2" s="826" t="str">
        <f>Дата!B2</f>
        <v>19 июня 2019 год</v>
      </c>
      <c r="B2" s="826"/>
      <c r="C2" s="826"/>
      <c r="D2" s="826"/>
      <c r="E2" s="826"/>
      <c r="F2" s="826"/>
      <c r="G2" s="826"/>
      <c r="H2" s="826"/>
    </row>
    <row r="3" spans="1:8" ht="20.25" customHeight="1">
      <c r="A3" s="830" t="s">
        <v>345</v>
      </c>
      <c r="B3" s="830"/>
      <c r="C3" s="830"/>
      <c r="D3" s="830"/>
      <c r="E3" s="830"/>
      <c r="F3" s="830"/>
      <c r="G3" s="830"/>
      <c r="H3" s="830"/>
    </row>
    <row r="4" spans="3:6" ht="13.5" thickBot="1">
      <c r="C4" s="488"/>
      <c r="D4" s="488"/>
      <c r="E4" s="488"/>
      <c r="F4" s="488"/>
    </row>
    <row r="5" spans="3:6" ht="36.75" thickBot="1">
      <c r="C5" s="827" t="s">
        <v>22</v>
      </c>
      <c r="D5" s="489" t="s">
        <v>314</v>
      </c>
      <c r="E5" s="490" t="s">
        <v>315</v>
      </c>
      <c r="F5" s="493" t="s">
        <v>219</v>
      </c>
    </row>
    <row r="6" spans="3:6" ht="13.5" thickBot="1">
      <c r="C6" s="828"/>
      <c r="D6" s="494" t="s">
        <v>37</v>
      </c>
      <c r="E6" s="494" t="s">
        <v>37</v>
      </c>
      <c r="F6" s="494" t="s">
        <v>37</v>
      </c>
    </row>
    <row r="7" spans="3:6" ht="13.5" thickBot="1">
      <c r="C7" s="829"/>
      <c r="D7" s="496" t="s">
        <v>220</v>
      </c>
      <c r="E7" s="496" t="s">
        <v>220</v>
      </c>
      <c r="F7" s="496" t="s">
        <v>220</v>
      </c>
    </row>
    <row r="8" spans="3:6" ht="12.75">
      <c r="C8" s="498">
        <v>2</v>
      </c>
      <c r="D8" s="501"/>
      <c r="E8" s="499"/>
      <c r="F8" s="502"/>
    </row>
    <row r="9" spans="3:6" ht="12.75">
      <c r="C9" s="504">
        <v>3</v>
      </c>
      <c r="D9" s="507">
        <v>44</v>
      </c>
      <c r="E9" s="505">
        <v>196.2</v>
      </c>
      <c r="F9" s="507">
        <f>D9+E9</f>
        <v>240.2</v>
      </c>
    </row>
    <row r="10" spans="3:6" ht="12.75">
      <c r="C10" s="504">
        <v>4</v>
      </c>
      <c r="D10" s="507">
        <v>46.8</v>
      </c>
      <c r="E10" s="505">
        <v>185.1</v>
      </c>
      <c r="F10" s="507">
        <f aca="true" t="shared" si="0" ref="F10:F32">D10+E10</f>
        <v>231.89999999999998</v>
      </c>
    </row>
    <row r="11" spans="3:6" ht="12.75">
      <c r="C11" s="504">
        <v>5</v>
      </c>
      <c r="D11" s="507">
        <v>45.6</v>
      </c>
      <c r="E11" s="505">
        <v>231.3</v>
      </c>
      <c r="F11" s="507">
        <f t="shared" si="0"/>
        <v>276.90000000000003</v>
      </c>
    </row>
    <row r="12" spans="3:6" ht="12.75">
      <c r="C12" s="504">
        <v>6</v>
      </c>
      <c r="D12" s="507">
        <v>44.4</v>
      </c>
      <c r="E12" s="505">
        <v>249.3</v>
      </c>
      <c r="F12" s="507">
        <f t="shared" si="0"/>
        <v>293.7</v>
      </c>
    </row>
    <row r="13" spans="3:6" ht="12.75">
      <c r="C13" s="504">
        <v>7</v>
      </c>
      <c r="D13" s="507">
        <v>46</v>
      </c>
      <c r="E13" s="505">
        <v>237.6</v>
      </c>
      <c r="F13" s="507">
        <f t="shared" si="0"/>
        <v>283.6</v>
      </c>
    </row>
    <row r="14" spans="3:6" ht="12.75">
      <c r="C14" s="504">
        <v>8</v>
      </c>
      <c r="D14" s="507">
        <v>52.8</v>
      </c>
      <c r="E14" s="505">
        <v>193.8</v>
      </c>
      <c r="F14" s="507">
        <f t="shared" si="0"/>
        <v>246.60000000000002</v>
      </c>
    </row>
    <row r="15" spans="3:6" ht="12.75">
      <c r="C15" s="504">
        <v>9</v>
      </c>
      <c r="D15" s="507">
        <v>64.4</v>
      </c>
      <c r="E15" s="505">
        <v>196.5</v>
      </c>
      <c r="F15" s="507">
        <f t="shared" si="0"/>
        <v>260.9</v>
      </c>
    </row>
    <row r="16" spans="3:6" ht="12.75">
      <c r="C16" s="504">
        <v>10</v>
      </c>
      <c r="D16" s="507">
        <v>68.4</v>
      </c>
      <c r="E16" s="505">
        <v>205.2</v>
      </c>
      <c r="F16" s="507">
        <f t="shared" si="0"/>
        <v>273.6</v>
      </c>
    </row>
    <row r="17" spans="3:6" ht="12.75">
      <c r="C17" s="504">
        <v>11</v>
      </c>
      <c r="D17" s="507">
        <v>77.2</v>
      </c>
      <c r="E17" s="505">
        <v>195</v>
      </c>
      <c r="F17" s="507">
        <f t="shared" si="0"/>
        <v>272.2</v>
      </c>
    </row>
    <row r="18" spans="3:6" ht="12.75">
      <c r="C18" s="504">
        <v>12</v>
      </c>
      <c r="D18" s="507">
        <v>72.8</v>
      </c>
      <c r="E18" s="505">
        <v>198.9</v>
      </c>
      <c r="F18" s="507">
        <f t="shared" si="0"/>
        <v>271.7</v>
      </c>
    </row>
    <row r="19" spans="3:6" ht="12.75">
      <c r="C19" s="504">
        <v>13</v>
      </c>
      <c r="D19" s="507">
        <v>68.4</v>
      </c>
      <c r="E19" s="505">
        <v>204.6</v>
      </c>
      <c r="F19" s="507">
        <f t="shared" si="0"/>
        <v>273</v>
      </c>
    </row>
    <row r="20" spans="3:6" ht="12.75">
      <c r="C20" s="504">
        <v>14</v>
      </c>
      <c r="D20" s="507">
        <v>64.4</v>
      </c>
      <c r="E20" s="505">
        <v>189.6</v>
      </c>
      <c r="F20" s="507">
        <f t="shared" si="0"/>
        <v>254</v>
      </c>
    </row>
    <row r="21" spans="3:6" ht="12.75">
      <c r="C21" s="504">
        <v>15</v>
      </c>
      <c r="D21" s="507">
        <v>60</v>
      </c>
      <c r="E21" s="505">
        <v>190.5</v>
      </c>
      <c r="F21" s="507">
        <f t="shared" si="0"/>
        <v>250.5</v>
      </c>
    </row>
    <row r="22" spans="3:6" ht="12.75">
      <c r="C22" s="504">
        <v>16</v>
      </c>
      <c r="D22" s="507">
        <v>58.4</v>
      </c>
      <c r="E22" s="505">
        <v>180.6</v>
      </c>
      <c r="F22" s="507">
        <f t="shared" si="0"/>
        <v>239</v>
      </c>
    </row>
    <row r="23" spans="3:6" ht="12.75">
      <c r="C23" s="504">
        <v>17</v>
      </c>
      <c r="D23" s="507">
        <v>52.4</v>
      </c>
      <c r="E23" s="505">
        <v>190.8</v>
      </c>
      <c r="F23" s="507">
        <f t="shared" si="0"/>
        <v>243.20000000000002</v>
      </c>
    </row>
    <row r="24" spans="3:6" ht="12.75">
      <c r="C24" s="504">
        <v>18</v>
      </c>
      <c r="D24" s="507">
        <v>48.4</v>
      </c>
      <c r="E24" s="505">
        <v>187.5</v>
      </c>
      <c r="F24" s="507">
        <f t="shared" si="0"/>
        <v>235.9</v>
      </c>
    </row>
    <row r="25" spans="3:6" ht="12.75">
      <c r="C25" s="504">
        <v>19</v>
      </c>
      <c r="D25" s="507">
        <v>46.8</v>
      </c>
      <c r="E25" s="505">
        <v>193.5</v>
      </c>
      <c r="F25" s="507">
        <f t="shared" si="0"/>
        <v>240.3</v>
      </c>
    </row>
    <row r="26" spans="3:6" ht="12.75">
      <c r="C26" s="504">
        <v>20</v>
      </c>
      <c r="D26" s="507">
        <v>49.2</v>
      </c>
      <c r="E26" s="505">
        <v>199.5</v>
      </c>
      <c r="F26" s="507">
        <f t="shared" si="0"/>
        <v>248.7</v>
      </c>
    </row>
    <row r="27" spans="3:6" ht="12.75">
      <c r="C27" s="504">
        <v>21</v>
      </c>
      <c r="D27" s="507">
        <v>44.4</v>
      </c>
      <c r="E27" s="505">
        <v>219.9</v>
      </c>
      <c r="F27" s="507">
        <f t="shared" si="0"/>
        <v>264.3</v>
      </c>
    </row>
    <row r="28" spans="3:6" ht="12.75">
      <c r="C28" s="504">
        <v>22</v>
      </c>
      <c r="D28" s="507">
        <v>42</v>
      </c>
      <c r="E28" s="505">
        <v>230.1</v>
      </c>
      <c r="F28" s="507">
        <f t="shared" si="0"/>
        <v>272.1</v>
      </c>
    </row>
    <row r="29" spans="3:6" ht="12.75">
      <c r="C29" s="504">
        <v>23</v>
      </c>
      <c r="D29" s="507">
        <v>42.4</v>
      </c>
      <c r="E29" s="505">
        <v>242.7</v>
      </c>
      <c r="F29" s="507">
        <f t="shared" si="0"/>
        <v>285.09999999999997</v>
      </c>
    </row>
    <row r="30" spans="3:6" ht="12.75">
      <c r="C30" s="504">
        <v>24</v>
      </c>
      <c r="D30" s="507">
        <v>42</v>
      </c>
      <c r="E30" s="505">
        <v>219.3</v>
      </c>
      <c r="F30" s="507">
        <f t="shared" si="0"/>
        <v>261.3</v>
      </c>
    </row>
    <row r="31" spans="3:6" ht="12.75">
      <c r="C31" s="504">
        <v>1</v>
      </c>
      <c r="D31" s="507">
        <v>40.4</v>
      </c>
      <c r="E31" s="505">
        <v>195.6</v>
      </c>
      <c r="F31" s="507">
        <f t="shared" si="0"/>
        <v>236</v>
      </c>
    </row>
    <row r="32" spans="3:6" ht="13.5" thickBot="1">
      <c r="C32" s="509">
        <v>2</v>
      </c>
      <c r="D32" s="530">
        <v>42.4</v>
      </c>
      <c r="E32" s="505">
        <v>200.1</v>
      </c>
      <c r="F32" s="507">
        <f t="shared" si="0"/>
        <v>242.5</v>
      </c>
    </row>
    <row r="33" spans="3:6" s="629" customFormat="1" ht="26.25" thickBot="1">
      <c r="C33" s="625" t="s">
        <v>14</v>
      </c>
      <c r="D33" s="626">
        <f>SUM(D9:D32)</f>
        <v>1264.0000000000002</v>
      </c>
      <c r="E33" s="627">
        <f>SUM(E9:E32)</f>
        <v>4933.200000000001</v>
      </c>
      <c r="F33" s="628">
        <f>D33+E33</f>
        <v>6197.200000000001</v>
      </c>
    </row>
    <row r="34" spans="3:6" ht="15.75">
      <c r="C34" s="510"/>
      <c r="D34" s="511"/>
      <c r="E34" s="511"/>
      <c r="F34" s="632">
        <f>ROUND(F33/24,2)</f>
        <v>258.22</v>
      </c>
    </row>
    <row r="35" spans="3:6" ht="15.75">
      <c r="C35" s="510"/>
      <c r="D35" s="511"/>
      <c r="E35" s="511"/>
      <c r="F35" s="632">
        <f>MAX(F9:F32)</f>
        <v>293.7</v>
      </c>
    </row>
    <row r="36" spans="3:6" ht="15.75">
      <c r="C36" s="488"/>
      <c r="D36" s="488"/>
      <c r="E36" s="488"/>
      <c r="F36" s="632">
        <f>ROUND(F34/F35,2)</f>
        <v>0.88</v>
      </c>
    </row>
    <row r="37" spans="3:6" ht="12.75">
      <c r="C37" s="488"/>
      <c r="D37" s="488"/>
      <c r="E37" s="488"/>
      <c r="F37" s="488"/>
    </row>
    <row r="38" spans="3:6" ht="12.75">
      <c r="C38" s="488"/>
      <c r="D38" s="488"/>
      <c r="E38" s="488"/>
      <c r="F38" s="488"/>
    </row>
    <row r="39" spans="3:6" ht="12.75">
      <c r="C39" s="488"/>
      <c r="D39" s="517" t="s">
        <v>238</v>
      </c>
      <c r="E39" s="517"/>
      <c r="F39" s="488"/>
    </row>
    <row r="40" spans="3:6" ht="12.75">
      <c r="C40" s="488"/>
      <c r="D40" s="825" t="s">
        <v>210</v>
      </c>
      <c r="E40" s="825"/>
      <c r="F40" s="488"/>
    </row>
    <row r="41" spans="3:6" ht="12.75">
      <c r="C41" s="488"/>
      <c r="D41" s="515"/>
      <c r="E41" s="515"/>
      <c r="F41" s="488"/>
    </row>
    <row r="42" spans="3:6" ht="12.75">
      <c r="C42" s="488"/>
      <c r="D42" s="516"/>
      <c r="E42" s="516"/>
      <c r="F42" s="488"/>
    </row>
    <row r="43" spans="3:6" ht="12.75">
      <c r="C43" s="488"/>
      <c r="D43" s="488"/>
      <c r="E43" s="488"/>
      <c r="F43" s="488"/>
    </row>
  </sheetData>
  <sheetProtection/>
  <mergeCells count="5">
    <mergeCell ref="C5:C7"/>
    <mergeCell ref="D40:E40"/>
    <mergeCell ref="A1:H1"/>
    <mergeCell ref="A2:H2"/>
    <mergeCell ref="A3:H3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N39"/>
  <sheetViews>
    <sheetView view="pageBreakPreview" zoomScale="60" zoomScalePageLayoutView="0" workbookViewId="0" topLeftCell="A1">
      <selection activeCell="C32" sqref="C32:D32"/>
    </sheetView>
  </sheetViews>
  <sheetFormatPr defaultColWidth="9.140625" defaultRowHeight="12.75"/>
  <cols>
    <col min="1" max="1" width="43.7109375" style="104" customWidth="1"/>
    <col min="2" max="2" width="8.28125" style="0" customWidth="1"/>
    <col min="3" max="3" width="13.00390625" style="0" customWidth="1"/>
    <col min="4" max="4" width="26.57421875" style="0" customWidth="1"/>
    <col min="5" max="5" width="43.57421875" style="2" customWidth="1"/>
    <col min="6" max="6" width="16.00390625" style="2" customWidth="1"/>
    <col min="7" max="7" width="23.00390625" style="0" customWidth="1"/>
  </cols>
  <sheetData>
    <row r="1" spans="1:14" ht="54" customHeight="1">
      <c r="A1" s="679" t="s">
        <v>339</v>
      </c>
      <c r="B1" s="679"/>
      <c r="C1" s="679"/>
      <c r="D1" s="679"/>
      <c r="E1" s="679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25.5" customHeight="1">
      <c r="A2" s="680" t="str">
        <f>Чеускино!A2</f>
        <v>19 июня 2019 год</v>
      </c>
      <c r="B2" s="680"/>
      <c r="C2" s="680"/>
      <c r="D2" s="680"/>
      <c r="E2" s="680"/>
      <c r="F2" s="211"/>
      <c r="G2" s="211"/>
      <c r="H2" s="211"/>
      <c r="I2" s="211"/>
      <c r="J2" s="211"/>
      <c r="K2" s="211"/>
      <c r="L2" s="211"/>
      <c r="M2" s="211"/>
      <c r="N2" s="211"/>
    </row>
    <row r="3" spans="7:8" ht="16.5" customHeight="1" thickBot="1">
      <c r="G3" s="2"/>
      <c r="H3" s="2"/>
    </row>
    <row r="4" spans="1:8" ht="0.75" customHeight="1">
      <c r="A4" s="142"/>
      <c r="B4" s="693" t="s">
        <v>22</v>
      </c>
      <c r="C4" s="696" t="s">
        <v>285</v>
      </c>
      <c r="D4" s="697"/>
      <c r="E4" s="102"/>
      <c r="F4" s="102"/>
      <c r="G4" s="2"/>
      <c r="H4" s="2"/>
    </row>
    <row r="5" spans="1:8" ht="36.75" customHeight="1">
      <c r="A5" s="142"/>
      <c r="B5" s="694"/>
      <c r="C5" s="698"/>
      <c r="D5" s="699"/>
      <c r="E5" s="49"/>
      <c r="F5" s="49"/>
      <c r="G5" s="2"/>
      <c r="H5" s="2"/>
    </row>
    <row r="6" spans="1:8" ht="51.75" customHeight="1" thickBot="1">
      <c r="A6" s="115"/>
      <c r="B6" s="695"/>
      <c r="C6" s="700"/>
      <c r="D6" s="701"/>
      <c r="E6" s="49"/>
      <c r="F6" s="49"/>
      <c r="G6" s="2"/>
      <c r="H6" s="2"/>
    </row>
    <row r="7" spans="1:8" ht="19.5" customHeight="1">
      <c r="A7" s="115"/>
      <c r="B7" s="37">
        <v>2</v>
      </c>
      <c r="C7" s="702"/>
      <c r="D7" s="703"/>
      <c r="E7" s="93"/>
      <c r="F7" s="93"/>
      <c r="G7" s="2"/>
      <c r="H7" s="2"/>
    </row>
    <row r="8" spans="1:8" ht="19.5" customHeight="1">
      <c r="A8" s="115"/>
      <c r="B8" s="42">
        <v>3</v>
      </c>
      <c r="C8" s="689">
        <f>'Пойк  ТЭ'!K10+' Салым ТЭ'!F10+' Куть-Ях ТЭ '!F9</f>
        <v>4734.03</v>
      </c>
      <c r="D8" s="690"/>
      <c r="E8" s="93"/>
      <c r="F8" s="93"/>
      <c r="G8" s="2"/>
      <c r="H8" s="160"/>
    </row>
    <row r="9" spans="1:8" ht="19.5" customHeight="1">
      <c r="A9" s="115"/>
      <c r="B9" s="42">
        <v>4</v>
      </c>
      <c r="C9" s="689">
        <f>'Пойк  ТЭ'!K11+' Салым ТЭ'!F11+' Куть-Ях ТЭ '!F10</f>
        <v>4497.87</v>
      </c>
      <c r="D9" s="690"/>
      <c r="E9" s="93"/>
      <c r="F9" s="93"/>
      <c r="G9" s="2"/>
      <c r="H9" s="160"/>
    </row>
    <row r="10" spans="1:8" ht="19.5" customHeight="1">
      <c r="A10" s="115"/>
      <c r="B10" s="42">
        <v>5</v>
      </c>
      <c r="C10" s="689">
        <f>'Пойк  ТЭ'!K12+' Салым ТЭ'!F12+' Куть-Ях ТЭ '!F11</f>
        <v>4581.4</v>
      </c>
      <c r="D10" s="690"/>
      <c r="E10" s="93"/>
      <c r="F10" s="93"/>
      <c r="G10" s="2"/>
      <c r="H10" s="160"/>
    </row>
    <row r="11" spans="1:8" ht="19.5" customHeight="1">
      <c r="A11" s="115"/>
      <c r="B11" s="42">
        <v>6</v>
      </c>
      <c r="C11" s="689">
        <f>'Пойк  ТЭ'!K13+' Салым ТЭ'!F13+' Куть-Ях ТЭ '!F12</f>
        <v>4953.16</v>
      </c>
      <c r="D11" s="690"/>
      <c r="E11" s="93"/>
      <c r="F11" s="93"/>
      <c r="G11" s="2"/>
      <c r="H11" s="160"/>
    </row>
    <row r="12" spans="1:8" ht="19.5" customHeight="1">
      <c r="A12" s="115"/>
      <c r="B12" s="42">
        <v>7</v>
      </c>
      <c r="C12" s="689">
        <f>'Пойк  ТЭ'!K14+' Салым ТЭ'!F14+' Куть-Ях ТЭ '!F13</f>
        <v>5768.17</v>
      </c>
      <c r="D12" s="690"/>
      <c r="E12" s="93"/>
      <c r="F12" s="93"/>
      <c r="G12" s="2"/>
      <c r="H12" s="160"/>
    </row>
    <row r="13" spans="1:8" ht="19.5" customHeight="1">
      <c r="A13" s="115"/>
      <c r="B13" s="42">
        <v>8</v>
      </c>
      <c r="C13" s="689">
        <f>'Пойк  ТЭ'!K15+' Салым ТЭ'!F15+' Куть-Ях ТЭ '!F14</f>
        <v>6000.220000000001</v>
      </c>
      <c r="D13" s="690"/>
      <c r="E13" s="93"/>
      <c r="F13" s="93"/>
      <c r="G13" s="2"/>
      <c r="H13" s="160"/>
    </row>
    <row r="14" spans="1:8" ht="19.5" customHeight="1">
      <c r="A14" s="115"/>
      <c r="B14" s="42">
        <v>9</v>
      </c>
      <c r="C14" s="689">
        <f>'Пойк  ТЭ'!K16+' Салым ТЭ'!F16+' Куть-Ях ТЭ '!F15</f>
        <v>6341.75</v>
      </c>
      <c r="D14" s="690"/>
      <c r="E14" s="93"/>
      <c r="F14" s="93"/>
      <c r="G14" s="2"/>
      <c r="H14" s="160"/>
    </row>
    <row r="15" spans="1:8" ht="19.5" customHeight="1">
      <c r="A15" s="115"/>
      <c r="B15" s="42">
        <v>10</v>
      </c>
      <c r="C15" s="689">
        <f>'Пойк  ТЭ'!K17+' Салым ТЭ'!F17+' Куть-Ях ТЭ '!F16</f>
        <v>6783.46</v>
      </c>
      <c r="D15" s="690"/>
      <c r="E15" s="93"/>
      <c r="F15" s="93"/>
      <c r="G15" s="2"/>
      <c r="H15" s="160"/>
    </row>
    <row r="16" spans="1:8" ht="19.5" customHeight="1">
      <c r="A16" s="115"/>
      <c r="B16" s="42">
        <v>11</v>
      </c>
      <c r="C16" s="689">
        <f>'Пойк  ТЭ'!K18+' Салым ТЭ'!F18+' Куть-Ях ТЭ '!F17</f>
        <v>6857.53</v>
      </c>
      <c r="D16" s="690"/>
      <c r="E16" s="93"/>
      <c r="F16" s="93"/>
      <c r="G16" s="2"/>
      <c r="H16" s="160"/>
    </row>
    <row r="17" spans="1:8" ht="19.5" customHeight="1">
      <c r="A17" s="115"/>
      <c r="B17" s="42">
        <v>12</v>
      </c>
      <c r="C17" s="689">
        <f>'Пойк  ТЭ'!K19+' Салым ТЭ'!F19+' Куть-Ях ТЭ '!F18</f>
        <v>6924.24</v>
      </c>
      <c r="D17" s="690"/>
      <c r="E17" s="93"/>
      <c r="F17" s="93"/>
      <c r="G17" s="2"/>
      <c r="H17" s="160"/>
    </row>
    <row r="18" spans="1:8" ht="19.5" customHeight="1">
      <c r="A18" s="115"/>
      <c r="B18" s="42">
        <v>13</v>
      </c>
      <c r="C18" s="689">
        <f>'Пойк  ТЭ'!K20+' Салым ТЭ'!F20+' Куть-Ях ТЭ '!F19</f>
        <v>6814.41</v>
      </c>
      <c r="D18" s="690"/>
      <c r="E18" s="93"/>
      <c r="F18" s="93"/>
      <c r="G18" s="2"/>
      <c r="H18" s="160"/>
    </row>
    <row r="19" spans="1:8" ht="19.5" customHeight="1">
      <c r="A19" s="115"/>
      <c r="B19" s="42">
        <v>14</v>
      </c>
      <c r="C19" s="689">
        <f>'Пойк  ТЭ'!K21+' Салым ТЭ'!F21+' Куть-Ях ТЭ '!F20</f>
        <v>6756.9</v>
      </c>
      <c r="D19" s="690"/>
      <c r="E19" s="93"/>
      <c r="F19" s="93"/>
      <c r="G19" s="2"/>
      <c r="H19" s="160"/>
    </row>
    <row r="20" spans="1:8" ht="19.5" customHeight="1">
      <c r="A20" s="115"/>
      <c r="B20" s="42">
        <v>15</v>
      </c>
      <c r="C20" s="689">
        <f>'Пойк  ТЭ'!K22+' Салым ТЭ'!F22+' Куть-Ях ТЭ '!F21</f>
        <v>6510.04</v>
      </c>
      <c r="D20" s="690"/>
      <c r="E20" s="93"/>
      <c r="F20" s="93"/>
      <c r="G20" s="2"/>
      <c r="H20" s="160"/>
    </row>
    <row r="21" spans="1:8" ht="19.5" customHeight="1">
      <c r="A21" s="115"/>
      <c r="B21" s="42">
        <v>16</v>
      </c>
      <c r="C21" s="689">
        <f>'Пойк  ТЭ'!K23+' Салым ТЭ'!F23+' Куть-Ях ТЭ '!F22</f>
        <v>6513.29</v>
      </c>
      <c r="D21" s="690"/>
      <c r="E21" s="93"/>
      <c r="F21" s="93"/>
      <c r="G21" s="2"/>
      <c r="H21" s="160"/>
    </row>
    <row r="22" spans="1:8" ht="19.5" customHeight="1">
      <c r="A22" s="115"/>
      <c r="B22" s="42">
        <v>17</v>
      </c>
      <c r="C22" s="689">
        <f>'Пойк  ТЭ'!K24+' Салым ТЭ'!F24+' Куть-Ях ТЭ '!F23</f>
        <v>6450.78</v>
      </c>
      <c r="D22" s="690"/>
      <c r="E22" s="93"/>
      <c r="F22" s="93"/>
      <c r="G22" s="2"/>
      <c r="H22" s="160"/>
    </row>
    <row r="23" spans="1:8" ht="19.5" customHeight="1">
      <c r="A23" s="115"/>
      <c r="B23" s="42">
        <v>18</v>
      </c>
      <c r="C23" s="689">
        <f>'Пойк  ТЭ'!K25+' Салым ТЭ'!F25+' Куть-Ях ТЭ '!F24</f>
        <v>6523.2699999999995</v>
      </c>
      <c r="D23" s="690"/>
      <c r="E23" s="93"/>
      <c r="F23" s="93"/>
      <c r="G23" s="2"/>
      <c r="H23" s="160"/>
    </row>
    <row r="24" spans="1:8" ht="19.5" customHeight="1">
      <c r="A24" s="115"/>
      <c r="B24" s="42">
        <v>19</v>
      </c>
      <c r="C24" s="689">
        <f>'Пойк  ТЭ'!K26+' Салым ТЭ'!F26+' Куть-Ях ТЭ '!F25</f>
        <v>6613.960000000001</v>
      </c>
      <c r="D24" s="690"/>
      <c r="E24" s="93"/>
      <c r="F24" s="93"/>
      <c r="G24" s="2"/>
      <c r="H24" s="160"/>
    </row>
    <row r="25" spans="1:8" ht="19.5" customHeight="1">
      <c r="A25" s="115"/>
      <c r="B25" s="42">
        <v>20</v>
      </c>
      <c r="C25" s="689">
        <f>'Пойк  ТЭ'!K27+' Салым ТЭ'!F27+' Куть-Ях ТЭ '!F26</f>
        <v>6763.07</v>
      </c>
      <c r="D25" s="690"/>
      <c r="E25" s="93"/>
      <c r="F25" s="93"/>
      <c r="G25" s="2"/>
      <c r="H25" s="160"/>
    </row>
    <row r="26" spans="1:8" ht="19.5" customHeight="1">
      <c r="A26" s="115"/>
      <c r="B26" s="42">
        <v>21</v>
      </c>
      <c r="C26" s="689">
        <f>'Пойк  ТЭ'!K28+' Салым ТЭ'!F28+' Куть-Ях ТЭ '!F27</f>
        <v>7220.79</v>
      </c>
      <c r="D26" s="690"/>
      <c r="E26" s="93"/>
      <c r="F26" s="93"/>
      <c r="G26" s="2"/>
      <c r="H26" s="160"/>
    </row>
    <row r="27" spans="1:8" ht="19.5" customHeight="1">
      <c r="A27" s="115"/>
      <c r="B27" s="42">
        <v>22</v>
      </c>
      <c r="C27" s="689">
        <f>'Пойк  ТЭ'!K29+' Салым ТЭ'!F29+' Куть-Ях ТЭ '!F28</f>
        <v>7446.88</v>
      </c>
      <c r="D27" s="690"/>
      <c r="E27" s="93"/>
      <c r="F27" s="93"/>
      <c r="G27" s="2"/>
      <c r="H27" s="160"/>
    </row>
    <row r="28" spans="1:8" ht="19.5" customHeight="1">
      <c r="A28" s="115"/>
      <c r="B28" s="42">
        <v>23</v>
      </c>
      <c r="C28" s="689">
        <f>'Пойк  ТЭ'!K30+' Салым ТЭ'!F30+' Куть-Ях ТЭ '!F29</f>
        <v>7203.37</v>
      </c>
      <c r="D28" s="690"/>
      <c r="E28" s="93"/>
      <c r="F28" s="93"/>
      <c r="G28" s="2"/>
      <c r="H28" s="160"/>
    </row>
    <row r="29" spans="1:8" ht="19.5" customHeight="1">
      <c r="A29" s="115"/>
      <c r="B29" s="42">
        <v>24</v>
      </c>
      <c r="C29" s="689">
        <f>'Пойк  ТЭ'!K31+' Салым ТЭ'!F31+' Куть-Ях ТЭ '!F30</f>
        <v>6270.97</v>
      </c>
      <c r="D29" s="690"/>
      <c r="E29" s="93"/>
      <c r="F29" s="93"/>
      <c r="G29" s="2"/>
      <c r="H29" s="160"/>
    </row>
    <row r="30" spans="1:8" ht="19.5" customHeight="1">
      <c r="A30" s="115"/>
      <c r="B30" s="42">
        <v>1</v>
      </c>
      <c r="C30" s="689">
        <f>'Пойк  ТЭ'!K32+' Салым ТЭ'!F32+' Куть-Ях ТЭ '!F31</f>
        <v>5379.5</v>
      </c>
      <c r="D30" s="690"/>
      <c r="E30" s="93"/>
      <c r="F30" s="93"/>
      <c r="G30" s="2"/>
      <c r="H30" s="160"/>
    </row>
    <row r="31" spans="1:8" ht="19.5" customHeight="1" thickBot="1">
      <c r="A31" s="115"/>
      <c r="B31" s="214">
        <v>2</v>
      </c>
      <c r="C31" s="689">
        <f>'Пойк  ТЭ'!K33+' Салым ТЭ'!F33+' Куть-Ях ТЭ '!F32</f>
        <v>4883.8</v>
      </c>
      <c r="D31" s="690"/>
      <c r="E31" s="93"/>
      <c r="F31" s="93"/>
      <c r="G31" s="2"/>
      <c r="H31" s="160"/>
    </row>
    <row r="32" spans="1:8" ht="20.25" thickBot="1">
      <c r="A32" s="209"/>
      <c r="B32" s="595"/>
      <c r="C32" s="691">
        <f>SUM(C8:D31)</f>
        <v>148792.86</v>
      </c>
      <c r="D32" s="692"/>
      <c r="E32" s="82"/>
      <c r="F32" s="82"/>
      <c r="G32" s="2"/>
      <c r="H32" s="2"/>
    </row>
    <row r="33" spans="2:4" ht="24.75" customHeight="1">
      <c r="B33" s="108" t="s">
        <v>50</v>
      </c>
      <c r="C33" s="2"/>
      <c r="D33" s="216">
        <f>SUM(C8:D31)/24</f>
        <v>6199.702499999999</v>
      </c>
    </row>
    <row r="34" spans="1:4" s="2" customFormat="1" ht="15.75">
      <c r="A34" s="138"/>
      <c r="B34" s="108" t="s">
        <v>51</v>
      </c>
      <c r="D34" s="216">
        <f>MAX(C8:D31)</f>
        <v>7446.88</v>
      </c>
    </row>
    <row r="35" spans="1:4" s="2" customFormat="1" ht="15.75">
      <c r="A35" s="138"/>
      <c r="B35" s="110" t="s">
        <v>54</v>
      </c>
      <c r="D35" s="217">
        <f>D33/D34</f>
        <v>0.8325234863459595</v>
      </c>
    </row>
    <row r="36" ht="12.75"/>
    <row r="37" ht="12.75"/>
    <row r="38" spans="1:2" ht="12.75">
      <c r="A38" s="138"/>
      <c r="B38" s="2"/>
    </row>
    <row r="39" spans="1:2" ht="12.75">
      <c r="A39" s="138"/>
      <c r="B39" s="2"/>
    </row>
  </sheetData>
  <sheetProtection/>
  <mergeCells count="30">
    <mergeCell ref="A1:E1"/>
    <mergeCell ref="A2:E2"/>
    <mergeCell ref="B4:B6"/>
    <mergeCell ref="C4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rintOptions horizontalCentered="1"/>
  <pageMargins left="0" right="0" top="0.41" bottom="0.16" header="0.5118110236220472" footer="0.16"/>
  <pageSetup fitToHeight="1" fitToWidth="1" horizontalDpi="1200" verticalDpi="12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7"/>
  <sheetViews>
    <sheetView view="pageBreakPreview" zoomScale="77" zoomScaleSheetLayoutView="77" zoomScalePageLayoutView="0" workbookViewId="0" topLeftCell="A1">
      <selection activeCell="G14" sqref="G14"/>
    </sheetView>
  </sheetViews>
  <sheetFormatPr defaultColWidth="9.140625" defaultRowHeight="12.75"/>
  <cols>
    <col min="1" max="1" width="19.7109375" style="0" customWidth="1"/>
    <col min="2" max="2" width="10.28125" style="0" hidden="1" customWidth="1"/>
    <col min="3" max="3" width="23.8515625" style="0" customWidth="1"/>
    <col min="4" max="4" width="12.00390625" style="0" hidden="1" customWidth="1"/>
    <col min="5" max="5" width="24.00390625" style="0" customWidth="1"/>
    <col min="6" max="6" width="10.57421875" style="0" hidden="1" customWidth="1"/>
    <col min="7" max="7" width="24.00390625" style="0" customWidth="1"/>
    <col min="8" max="8" width="31.28125" style="0" customWidth="1"/>
    <col min="9" max="10" width="9.7109375" style="0" customWidth="1"/>
  </cols>
  <sheetData>
    <row r="1" spans="1:10" ht="15.75" customHeight="1">
      <c r="A1" s="655" t="s">
        <v>321</v>
      </c>
      <c r="B1" s="655"/>
      <c r="C1" s="655"/>
      <c r="D1" s="655"/>
      <c r="E1" s="655"/>
      <c r="F1" s="655"/>
      <c r="G1" s="655"/>
      <c r="H1" s="655"/>
      <c r="I1" s="95"/>
      <c r="J1" s="95"/>
    </row>
    <row r="2" spans="1:10" ht="15.75">
      <c r="A2" s="655"/>
      <c r="B2" s="655"/>
      <c r="C2" s="655"/>
      <c r="D2" s="655"/>
      <c r="E2" s="655"/>
      <c r="F2" s="655"/>
      <c r="G2" s="655"/>
      <c r="H2" s="655"/>
      <c r="I2" s="95"/>
      <c r="J2" s="95"/>
    </row>
    <row r="3" spans="1:10" ht="21.75" customHeight="1">
      <c r="A3" s="655" t="str">
        <f>Дата!B2</f>
        <v>19 июня 2019 год</v>
      </c>
      <c r="B3" s="655"/>
      <c r="C3" s="655"/>
      <c r="D3" s="655"/>
      <c r="E3" s="655"/>
      <c r="F3" s="655"/>
      <c r="G3" s="655"/>
      <c r="H3" s="655"/>
      <c r="I3" s="95"/>
      <c r="J3" s="95"/>
    </row>
    <row r="4" spans="1:10" ht="21.75" customHeight="1">
      <c r="A4" s="661" t="s">
        <v>317</v>
      </c>
      <c r="B4" s="661"/>
      <c r="C4" s="661"/>
      <c r="D4" s="661"/>
      <c r="E4" s="661"/>
      <c r="F4" s="661"/>
      <c r="G4" s="661"/>
      <c r="H4" s="661"/>
      <c r="I4" s="95"/>
      <c r="J4" s="95"/>
    </row>
    <row r="5" ht="13.5" customHeight="1" thickBot="1"/>
    <row r="6" spans="1:8" ht="40.5" customHeight="1" thickBot="1">
      <c r="A6" s="664" t="s">
        <v>22</v>
      </c>
      <c r="B6" s="656" t="s">
        <v>286</v>
      </c>
      <c r="C6" s="657"/>
      <c r="D6" s="656" t="s">
        <v>287</v>
      </c>
      <c r="E6" s="657"/>
      <c r="F6" s="656" t="s">
        <v>288</v>
      </c>
      <c r="G6" s="657"/>
      <c r="H6" s="658" t="s">
        <v>202</v>
      </c>
    </row>
    <row r="7" spans="1:8" ht="34.5" customHeight="1" thickBot="1">
      <c r="A7" s="665"/>
      <c r="B7" s="34" t="s">
        <v>23</v>
      </c>
      <c r="C7" s="272" t="s">
        <v>46</v>
      </c>
      <c r="D7" s="548" t="s">
        <v>24</v>
      </c>
      <c r="E7" s="272" t="s">
        <v>46</v>
      </c>
      <c r="F7" s="548" t="s">
        <v>25</v>
      </c>
      <c r="G7" s="272" t="s">
        <v>47</v>
      </c>
      <c r="H7" s="659"/>
    </row>
    <row r="8" spans="1:8" ht="19.5" customHeight="1">
      <c r="A8" s="37">
        <v>2</v>
      </c>
      <c r="B8" s="60"/>
      <c r="C8" s="64"/>
      <c r="D8" s="60"/>
      <c r="E8" s="64"/>
      <c r="F8" s="60"/>
      <c r="G8" s="64"/>
      <c r="H8" s="64"/>
    </row>
    <row r="9" spans="1:8" ht="19.5" customHeight="1">
      <c r="A9" s="42">
        <v>3</v>
      </c>
      <c r="B9" s="61"/>
      <c r="C9" s="635">
        <v>133</v>
      </c>
      <c r="D9" s="568"/>
      <c r="E9" s="635">
        <v>186</v>
      </c>
      <c r="F9" s="569"/>
      <c r="G9" s="567">
        <v>12</v>
      </c>
      <c r="H9" s="567">
        <f>C9+E9+G9</f>
        <v>331</v>
      </c>
    </row>
    <row r="10" spans="1:8" ht="19.5" customHeight="1">
      <c r="A10" s="70">
        <v>4</v>
      </c>
      <c r="B10" s="61"/>
      <c r="C10" s="635">
        <v>129</v>
      </c>
      <c r="D10" s="568"/>
      <c r="E10" s="635">
        <v>182</v>
      </c>
      <c r="F10" s="569"/>
      <c r="G10" s="567">
        <v>14</v>
      </c>
      <c r="H10" s="567">
        <f aca="true" t="shared" si="0" ref="H10:H31">C10+E10+G10</f>
        <v>325</v>
      </c>
    </row>
    <row r="11" spans="1:8" ht="19.5" customHeight="1">
      <c r="A11" s="70">
        <v>5</v>
      </c>
      <c r="B11" s="61"/>
      <c r="C11" s="635">
        <v>130</v>
      </c>
      <c r="D11" s="568"/>
      <c r="E11" s="635">
        <v>182</v>
      </c>
      <c r="F11" s="569"/>
      <c r="G11" s="567">
        <v>13</v>
      </c>
      <c r="H11" s="567">
        <f t="shared" si="0"/>
        <v>325</v>
      </c>
    </row>
    <row r="12" spans="1:8" ht="19.5" customHeight="1">
      <c r="A12" s="70">
        <v>6</v>
      </c>
      <c r="B12" s="61"/>
      <c r="C12" s="635">
        <v>150</v>
      </c>
      <c r="D12" s="568"/>
      <c r="E12" s="635">
        <v>188</v>
      </c>
      <c r="F12" s="569"/>
      <c r="G12" s="567">
        <v>14</v>
      </c>
      <c r="H12" s="567">
        <f t="shared" si="0"/>
        <v>352</v>
      </c>
    </row>
    <row r="13" spans="1:8" ht="19.5" customHeight="1">
      <c r="A13" s="70">
        <v>7</v>
      </c>
      <c r="B13" s="61"/>
      <c r="C13" s="635">
        <v>190</v>
      </c>
      <c r="D13" s="568"/>
      <c r="E13" s="635">
        <v>253</v>
      </c>
      <c r="F13" s="569"/>
      <c r="G13" s="567">
        <v>15</v>
      </c>
      <c r="H13" s="567">
        <f t="shared" si="0"/>
        <v>458</v>
      </c>
    </row>
    <row r="14" spans="1:8" ht="19.5" customHeight="1">
      <c r="A14" s="70">
        <v>8</v>
      </c>
      <c r="B14" s="61"/>
      <c r="C14" s="635">
        <v>211</v>
      </c>
      <c r="D14" s="568"/>
      <c r="E14" s="635">
        <v>339</v>
      </c>
      <c r="F14" s="569"/>
      <c r="G14" s="567">
        <v>15</v>
      </c>
      <c r="H14" s="567">
        <f t="shared" si="0"/>
        <v>565</v>
      </c>
    </row>
    <row r="15" spans="1:8" ht="19.5" customHeight="1">
      <c r="A15" s="70">
        <v>9</v>
      </c>
      <c r="B15" s="61"/>
      <c r="C15" s="635">
        <v>209</v>
      </c>
      <c r="D15" s="568"/>
      <c r="E15" s="635">
        <v>357</v>
      </c>
      <c r="F15" s="569"/>
      <c r="G15" s="567">
        <v>13</v>
      </c>
      <c r="H15" s="567">
        <f t="shared" si="0"/>
        <v>579</v>
      </c>
    </row>
    <row r="16" spans="1:8" ht="19.5" customHeight="1">
      <c r="A16" s="70">
        <v>10</v>
      </c>
      <c r="B16" s="61"/>
      <c r="C16" s="635">
        <v>199</v>
      </c>
      <c r="D16" s="568"/>
      <c r="E16" s="635">
        <v>376</v>
      </c>
      <c r="F16" s="569"/>
      <c r="G16" s="567">
        <v>10</v>
      </c>
      <c r="H16" s="567">
        <f t="shared" si="0"/>
        <v>585</v>
      </c>
    </row>
    <row r="17" spans="1:8" ht="19.5" customHeight="1">
      <c r="A17" s="70">
        <v>11</v>
      </c>
      <c r="B17" s="61"/>
      <c r="C17" s="635">
        <v>184</v>
      </c>
      <c r="D17" s="568"/>
      <c r="E17" s="635">
        <v>345</v>
      </c>
      <c r="F17" s="569"/>
      <c r="G17" s="567">
        <v>11</v>
      </c>
      <c r="H17" s="567">
        <f t="shared" si="0"/>
        <v>540</v>
      </c>
    </row>
    <row r="18" spans="1:8" ht="19.5" customHeight="1">
      <c r="A18" s="70">
        <v>12</v>
      </c>
      <c r="B18" s="61"/>
      <c r="C18" s="635">
        <v>182</v>
      </c>
      <c r="D18" s="568"/>
      <c r="E18" s="635">
        <v>334</v>
      </c>
      <c r="F18" s="569"/>
      <c r="G18" s="567">
        <v>12</v>
      </c>
      <c r="H18" s="567">
        <f t="shared" si="0"/>
        <v>528</v>
      </c>
    </row>
    <row r="19" spans="1:8" ht="19.5" customHeight="1">
      <c r="A19" s="70">
        <v>13</v>
      </c>
      <c r="B19" s="61"/>
      <c r="C19" s="635">
        <v>196</v>
      </c>
      <c r="D19" s="568"/>
      <c r="E19" s="635">
        <v>351</v>
      </c>
      <c r="F19" s="569"/>
      <c r="G19" s="567">
        <v>10</v>
      </c>
      <c r="H19" s="567">
        <f t="shared" si="0"/>
        <v>557</v>
      </c>
    </row>
    <row r="20" spans="1:8" ht="19.5" customHeight="1">
      <c r="A20" s="70">
        <v>14</v>
      </c>
      <c r="B20" s="61"/>
      <c r="C20" s="635">
        <v>189</v>
      </c>
      <c r="D20" s="568"/>
      <c r="E20" s="635">
        <v>331</v>
      </c>
      <c r="F20" s="569"/>
      <c r="G20" s="567">
        <v>12</v>
      </c>
      <c r="H20" s="567">
        <f t="shared" si="0"/>
        <v>532</v>
      </c>
    </row>
    <row r="21" spans="1:8" ht="19.5" customHeight="1">
      <c r="A21" s="70">
        <v>15</v>
      </c>
      <c r="B21" s="61"/>
      <c r="C21" s="635">
        <v>170</v>
      </c>
      <c r="D21" s="568"/>
      <c r="E21" s="635">
        <v>289</v>
      </c>
      <c r="F21" s="569"/>
      <c r="G21" s="567">
        <v>10</v>
      </c>
      <c r="H21" s="567">
        <f t="shared" si="0"/>
        <v>469</v>
      </c>
    </row>
    <row r="22" spans="1:8" ht="19.5" customHeight="1">
      <c r="A22" s="70">
        <v>16</v>
      </c>
      <c r="B22" s="61"/>
      <c r="C22" s="635">
        <v>167</v>
      </c>
      <c r="D22" s="568"/>
      <c r="E22" s="635">
        <v>301</v>
      </c>
      <c r="F22" s="569"/>
      <c r="G22" s="567">
        <v>10</v>
      </c>
      <c r="H22" s="567">
        <f t="shared" si="0"/>
        <v>478</v>
      </c>
    </row>
    <row r="23" spans="1:8" ht="19.5" customHeight="1">
      <c r="A23" s="70">
        <v>17</v>
      </c>
      <c r="B23" s="61"/>
      <c r="C23" s="635">
        <v>158</v>
      </c>
      <c r="D23" s="568"/>
      <c r="E23" s="635">
        <v>271</v>
      </c>
      <c r="F23" s="569"/>
      <c r="G23" s="567">
        <v>13</v>
      </c>
      <c r="H23" s="567">
        <f t="shared" si="0"/>
        <v>442</v>
      </c>
    </row>
    <row r="24" spans="1:8" ht="19.5" customHeight="1">
      <c r="A24" s="70">
        <v>18</v>
      </c>
      <c r="B24" s="61"/>
      <c r="C24" s="635">
        <v>184</v>
      </c>
      <c r="D24" s="568"/>
      <c r="E24" s="635">
        <v>276</v>
      </c>
      <c r="F24" s="569"/>
      <c r="G24" s="567">
        <v>16</v>
      </c>
      <c r="H24" s="567">
        <f t="shared" si="0"/>
        <v>476</v>
      </c>
    </row>
    <row r="25" spans="1:8" ht="19.5" customHeight="1">
      <c r="A25" s="70">
        <v>19</v>
      </c>
      <c r="B25" s="61"/>
      <c r="C25" s="635">
        <v>208</v>
      </c>
      <c r="D25" s="568"/>
      <c r="E25" s="635">
        <v>312</v>
      </c>
      <c r="F25" s="569"/>
      <c r="G25" s="567">
        <v>15</v>
      </c>
      <c r="H25" s="567">
        <f t="shared" si="0"/>
        <v>535</v>
      </c>
    </row>
    <row r="26" spans="1:8" ht="19.5" customHeight="1">
      <c r="A26" s="70">
        <v>20</v>
      </c>
      <c r="B26" s="61"/>
      <c r="C26" s="635">
        <v>211</v>
      </c>
      <c r="D26" s="568"/>
      <c r="E26" s="635">
        <v>299</v>
      </c>
      <c r="F26" s="569"/>
      <c r="G26" s="567">
        <v>14</v>
      </c>
      <c r="H26" s="567">
        <f t="shared" si="0"/>
        <v>524</v>
      </c>
    </row>
    <row r="27" spans="1:8" ht="19.5" customHeight="1">
      <c r="A27" s="70">
        <v>21</v>
      </c>
      <c r="B27" s="61"/>
      <c r="C27" s="635">
        <v>231</v>
      </c>
      <c r="D27" s="568"/>
      <c r="E27" s="635">
        <v>316</v>
      </c>
      <c r="F27" s="569"/>
      <c r="G27" s="567">
        <v>23</v>
      </c>
      <c r="H27" s="567">
        <f t="shared" si="0"/>
        <v>570</v>
      </c>
    </row>
    <row r="28" spans="1:8" ht="19.5" customHeight="1">
      <c r="A28" s="70">
        <v>22</v>
      </c>
      <c r="B28" s="61"/>
      <c r="C28" s="635">
        <v>262</v>
      </c>
      <c r="D28" s="568"/>
      <c r="E28" s="635">
        <v>333</v>
      </c>
      <c r="F28" s="569"/>
      <c r="G28" s="567">
        <v>18</v>
      </c>
      <c r="H28" s="567">
        <f t="shared" si="0"/>
        <v>613</v>
      </c>
    </row>
    <row r="29" spans="1:8" ht="19.5" customHeight="1">
      <c r="A29" s="70">
        <v>23</v>
      </c>
      <c r="B29" s="61"/>
      <c r="C29" s="635">
        <v>249</v>
      </c>
      <c r="D29" s="568"/>
      <c r="E29" s="635">
        <v>295</v>
      </c>
      <c r="F29" s="569"/>
      <c r="G29" s="567">
        <v>24</v>
      </c>
      <c r="H29" s="567">
        <f t="shared" si="0"/>
        <v>568</v>
      </c>
    </row>
    <row r="30" spans="1:8" ht="19.5" customHeight="1">
      <c r="A30" s="70">
        <v>24</v>
      </c>
      <c r="B30" s="61"/>
      <c r="C30" s="635">
        <v>223</v>
      </c>
      <c r="D30" s="568"/>
      <c r="E30" s="635">
        <v>271</v>
      </c>
      <c r="F30" s="569"/>
      <c r="G30" s="567">
        <v>19</v>
      </c>
      <c r="H30" s="567">
        <f t="shared" si="0"/>
        <v>513</v>
      </c>
    </row>
    <row r="31" spans="1:8" ht="19.5" customHeight="1">
      <c r="A31" s="70">
        <v>1</v>
      </c>
      <c r="B31" s="61"/>
      <c r="C31" s="635">
        <v>181</v>
      </c>
      <c r="D31" s="568"/>
      <c r="E31" s="635">
        <v>230</v>
      </c>
      <c r="F31" s="569"/>
      <c r="G31" s="567">
        <v>16</v>
      </c>
      <c r="H31" s="567">
        <f t="shared" si="0"/>
        <v>427</v>
      </c>
    </row>
    <row r="32" spans="1:8" ht="19.5" customHeight="1" thickBot="1">
      <c r="A32" s="72">
        <v>2</v>
      </c>
      <c r="B32" s="143"/>
      <c r="C32" s="635">
        <v>149</v>
      </c>
      <c r="D32" s="571"/>
      <c r="E32" s="635">
        <v>209</v>
      </c>
      <c r="F32" s="572"/>
      <c r="G32" s="570">
        <v>14</v>
      </c>
      <c r="H32" s="567">
        <f>C32+E32+G32</f>
        <v>372</v>
      </c>
    </row>
    <row r="33" spans="1:8" ht="24" customHeight="1" thickBot="1">
      <c r="A33" s="662" t="s">
        <v>61</v>
      </c>
      <c r="B33" s="663"/>
      <c r="C33" s="203">
        <f>SUM(C9:C32)</f>
        <v>4495</v>
      </c>
      <c r="D33" s="202"/>
      <c r="E33" s="203">
        <f>SUM(E9:E32)</f>
        <v>6826</v>
      </c>
      <c r="F33" s="202"/>
      <c r="G33" s="203">
        <f>SUM(G9:G32)</f>
        <v>343</v>
      </c>
      <c r="H33" s="203">
        <f>SUM(H9:H32)</f>
        <v>11664</v>
      </c>
    </row>
    <row r="34" spans="1:8" ht="15.75">
      <c r="A34" s="1"/>
      <c r="B34" s="1"/>
      <c r="C34" s="83"/>
      <c r="D34" s="2"/>
      <c r="E34" s="83"/>
      <c r="F34" s="2"/>
      <c r="G34" s="83"/>
      <c r="H34" s="83"/>
    </row>
    <row r="35" spans="2:8" ht="15.75">
      <c r="B35" s="108"/>
      <c r="C35" s="144"/>
      <c r="D35" s="145"/>
      <c r="E35" s="144"/>
      <c r="F35" s="145"/>
      <c r="G35" s="111" t="s">
        <v>66</v>
      </c>
      <c r="H35" s="83">
        <f>SUM(H9:H32)/24</f>
        <v>486</v>
      </c>
    </row>
    <row r="36" spans="2:8" ht="15.75">
      <c r="B36" s="146"/>
      <c r="C36" s="144"/>
      <c r="D36" s="145"/>
      <c r="E36" s="144"/>
      <c r="F36" s="147"/>
      <c r="G36" s="111" t="s">
        <v>67</v>
      </c>
      <c r="H36" s="83">
        <f>MAX(H9:H32)</f>
        <v>613</v>
      </c>
    </row>
    <row r="37" spans="2:8" ht="15.75">
      <c r="B37" s="148"/>
      <c r="C37" s="144"/>
      <c r="D37" s="145"/>
      <c r="E37" s="144"/>
      <c r="F37" s="147"/>
      <c r="G37" s="547" t="s">
        <v>54</v>
      </c>
      <c r="H37" s="566">
        <f>H35/H36</f>
        <v>0.7928221859706363</v>
      </c>
    </row>
    <row r="38" spans="1:8" ht="15.75">
      <c r="A38" s="108"/>
      <c r="F38" s="660"/>
      <c r="G38" s="660"/>
      <c r="H38" s="111"/>
    </row>
    <row r="40" spans="3:8" ht="12.75">
      <c r="C40" s="573" t="s">
        <v>290</v>
      </c>
      <c r="G40" s="99"/>
      <c r="H40" s="101" t="s">
        <v>291</v>
      </c>
    </row>
    <row r="41" spans="1:8" ht="15.75">
      <c r="A41" s="108"/>
      <c r="F41" s="660"/>
      <c r="G41" s="660"/>
      <c r="H41" s="111"/>
    </row>
    <row r="42" spans="1:8" ht="15.75">
      <c r="A42" s="110"/>
      <c r="F42" s="654"/>
      <c r="G42" s="654"/>
      <c r="H42" s="113"/>
    </row>
    <row r="47" ht="12.75">
      <c r="A47" s="546" t="s">
        <v>320</v>
      </c>
    </row>
  </sheetData>
  <sheetProtection/>
  <mergeCells count="12">
    <mergeCell ref="A1:H2"/>
    <mergeCell ref="A33:B33"/>
    <mergeCell ref="F38:G38"/>
    <mergeCell ref="B6:C6"/>
    <mergeCell ref="D6:E6"/>
    <mergeCell ref="A6:A7"/>
    <mergeCell ref="F42:G42"/>
    <mergeCell ref="A3:H3"/>
    <mergeCell ref="F6:G6"/>
    <mergeCell ref="H6:H7"/>
    <mergeCell ref="F41:G41"/>
    <mergeCell ref="A4:H4"/>
  </mergeCells>
  <printOptions horizontalCentered="1"/>
  <pageMargins left="0" right="0" top="0.63" bottom="0" header="0.5118110236220472" footer="0.5118110236220472"/>
  <pageSetup fitToHeight="1" fitToWidth="1" horizontalDpi="600" verticalDpi="6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"/>
  <sheetViews>
    <sheetView view="pageBreakPreview" zoomScale="80" zoomScaleNormal="85" zoomScaleSheetLayoutView="80" zoomScalePageLayoutView="0" workbookViewId="0" topLeftCell="A1">
      <pane ySplit="8" topLeftCell="A9" activePane="bottomLeft" state="frozen"/>
      <selection pane="topLeft" activeCell="A2" sqref="A2:IV4"/>
      <selection pane="bottomLeft" activeCell="E10" sqref="E10:E33"/>
    </sheetView>
  </sheetViews>
  <sheetFormatPr defaultColWidth="9.140625" defaultRowHeight="12.75"/>
  <cols>
    <col min="3" max="3" width="9.7109375" style="0" customWidth="1"/>
    <col min="4" max="4" width="17.28125" style="0" customWidth="1"/>
    <col min="5" max="5" width="16.57421875" style="0" customWidth="1"/>
    <col min="6" max="6" width="19.7109375" style="0" customWidth="1"/>
    <col min="7" max="7" width="13.140625" style="0" customWidth="1"/>
  </cols>
  <sheetData>
    <row r="1" spans="3:6" ht="12.75">
      <c r="C1" s="488"/>
      <c r="D1" s="488"/>
      <c r="E1" s="488"/>
      <c r="F1" s="488"/>
    </row>
    <row r="2" spans="1:8" ht="30" customHeight="1">
      <c r="A2" s="826" t="s">
        <v>348</v>
      </c>
      <c r="B2" s="826"/>
      <c r="C2" s="826"/>
      <c r="D2" s="826"/>
      <c r="E2" s="826"/>
      <c r="F2" s="826"/>
      <c r="G2" s="826"/>
      <c r="H2" s="826"/>
    </row>
    <row r="3" spans="1:8" ht="20.25" customHeight="1">
      <c r="A3" s="826" t="str">
        <f>Дата!B2</f>
        <v>19 июня 2019 год</v>
      </c>
      <c r="B3" s="826"/>
      <c r="C3" s="826"/>
      <c r="D3" s="826"/>
      <c r="E3" s="826"/>
      <c r="F3" s="826"/>
      <c r="G3" s="826"/>
      <c r="H3" s="826"/>
    </row>
    <row r="4" spans="1:8" ht="20.25" customHeight="1">
      <c r="A4" s="830" t="s">
        <v>344</v>
      </c>
      <c r="B4" s="830"/>
      <c r="C4" s="830"/>
      <c r="D4" s="830"/>
      <c r="E4" s="830"/>
      <c r="F4" s="830"/>
      <c r="G4" s="830"/>
      <c r="H4" s="830"/>
    </row>
    <row r="5" spans="3:6" ht="13.5" thickBot="1">
      <c r="C5" s="488"/>
      <c r="D5" s="488"/>
      <c r="E5" s="488"/>
      <c r="F5" s="488"/>
    </row>
    <row r="6" spans="3:6" ht="36.75" thickBot="1">
      <c r="C6" s="827" t="s">
        <v>22</v>
      </c>
      <c r="D6" s="489" t="s">
        <v>314</v>
      </c>
      <c r="E6" s="490" t="s">
        <v>315</v>
      </c>
      <c r="F6" s="493" t="s">
        <v>219</v>
      </c>
    </row>
    <row r="7" spans="3:6" ht="13.5" thickBot="1">
      <c r="C7" s="828"/>
      <c r="D7" s="494" t="s">
        <v>37</v>
      </c>
      <c r="E7" s="494" t="s">
        <v>37</v>
      </c>
      <c r="F7" s="494" t="s">
        <v>37</v>
      </c>
    </row>
    <row r="8" spans="3:6" ht="13.5" thickBot="1">
      <c r="C8" s="829"/>
      <c r="D8" s="496" t="s">
        <v>220</v>
      </c>
      <c r="E8" s="496" t="s">
        <v>220</v>
      </c>
      <c r="F8" s="496" t="s">
        <v>220</v>
      </c>
    </row>
    <row r="9" spans="3:6" ht="12.75">
      <c r="C9" s="498">
        <v>2</v>
      </c>
      <c r="D9" s="501"/>
      <c r="E9" s="499"/>
      <c r="F9" s="502"/>
    </row>
    <row r="10" spans="3:6" ht="12.75">
      <c r="C10" s="504">
        <v>3</v>
      </c>
      <c r="D10" s="507">
        <v>0</v>
      </c>
      <c r="E10" s="505">
        <v>0</v>
      </c>
      <c r="F10" s="507">
        <f>D10+G10</f>
        <v>0</v>
      </c>
    </row>
    <row r="11" spans="3:6" ht="12.75">
      <c r="C11" s="504">
        <v>4</v>
      </c>
      <c r="D11" s="507">
        <v>0</v>
      </c>
      <c r="E11" s="505">
        <v>0</v>
      </c>
      <c r="F11" s="507">
        <f aca="true" t="shared" si="0" ref="F11:F33">D11+G11</f>
        <v>0</v>
      </c>
    </row>
    <row r="12" spans="3:6" ht="12.75">
      <c r="C12" s="504">
        <v>5</v>
      </c>
      <c r="D12" s="507">
        <v>0</v>
      </c>
      <c r="E12" s="505">
        <v>0</v>
      </c>
      <c r="F12" s="507">
        <f t="shared" si="0"/>
        <v>0</v>
      </c>
    </row>
    <row r="13" spans="3:6" ht="12.75">
      <c r="C13" s="504">
        <v>6</v>
      </c>
      <c r="D13" s="507">
        <v>0</v>
      </c>
      <c r="E13" s="505">
        <v>0</v>
      </c>
      <c r="F13" s="507">
        <f t="shared" si="0"/>
        <v>0</v>
      </c>
    </row>
    <row r="14" spans="3:6" ht="12.75">
      <c r="C14" s="504">
        <v>7</v>
      </c>
      <c r="D14" s="507">
        <v>0</v>
      </c>
      <c r="E14" s="505">
        <v>0</v>
      </c>
      <c r="F14" s="507">
        <f t="shared" si="0"/>
        <v>0</v>
      </c>
    </row>
    <row r="15" spans="3:6" ht="12.75">
      <c r="C15" s="504">
        <v>8</v>
      </c>
      <c r="D15" s="507">
        <v>0</v>
      </c>
      <c r="E15" s="505">
        <v>0</v>
      </c>
      <c r="F15" s="507">
        <f t="shared" si="0"/>
        <v>0</v>
      </c>
    </row>
    <row r="16" spans="3:6" ht="12.75">
      <c r="C16" s="504">
        <v>9</v>
      </c>
      <c r="D16" s="507">
        <v>0</v>
      </c>
      <c r="E16" s="505">
        <v>0</v>
      </c>
      <c r="F16" s="507">
        <f t="shared" si="0"/>
        <v>0</v>
      </c>
    </row>
    <row r="17" spans="3:6" ht="12.75">
      <c r="C17" s="504">
        <v>10</v>
      </c>
      <c r="D17" s="507">
        <v>0</v>
      </c>
      <c r="E17" s="505">
        <v>0</v>
      </c>
      <c r="F17" s="507">
        <f t="shared" si="0"/>
        <v>0</v>
      </c>
    </row>
    <row r="18" spans="3:6" ht="12.75">
      <c r="C18" s="504">
        <v>11</v>
      </c>
      <c r="D18" s="507">
        <v>0</v>
      </c>
      <c r="E18" s="505">
        <v>0</v>
      </c>
      <c r="F18" s="507">
        <f t="shared" si="0"/>
        <v>0</v>
      </c>
    </row>
    <row r="19" spans="3:6" ht="12.75">
      <c r="C19" s="504">
        <v>12</v>
      </c>
      <c r="D19" s="507">
        <v>0</v>
      </c>
      <c r="E19" s="505">
        <v>0</v>
      </c>
      <c r="F19" s="507">
        <f t="shared" si="0"/>
        <v>0</v>
      </c>
    </row>
    <row r="20" spans="3:6" ht="12.75">
      <c r="C20" s="504">
        <v>13</v>
      </c>
      <c r="D20" s="507">
        <v>0</v>
      </c>
      <c r="E20" s="505">
        <v>0</v>
      </c>
      <c r="F20" s="507">
        <f t="shared" si="0"/>
        <v>0</v>
      </c>
    </row>
    <row r="21" spans="3:6" ht="12.75">
      <c r="C21" s="504">
        <v>14</v>
      </c>
      <c r="D21" s="507">
        <v>0</v>
      </c>
      <c r="E21" s="505">
        <v>0</v>
      </c>
      <c r="F21" s="507">
        <f t="shared" si="0"/>
        <v>0</v>
      </c>
    </row>
    <row r="22" spans="3:6" ht="12.75">
      <c r="C22" s="504">
        <v>15</v>
      </c>
      <c r="D22" s="507">
        <v>0</v>
      </c>
      <c r="E22" s="505">
        <v>0</v>
      </c>
      <c r="F22" s="507">
        <f t="shared" si="0"/>
        <v>0</v>
      </c>
    </row>
    <row r="23" spans="3:6" ht="12.75">
      <c r="C23" s="504">
        <v>16</v>
      </c>
      <c r="D23" s="507">
        <v>0</v>
      </c>
      <c r="E23" s="505">
        <v>0</v>
      </c>
      <c r="F23" s="507">
        <f t="shared" si="0"/>
        <v>0</v>
      </c>
    </row>
    <row r="24" spans="3:6" ht="12.75">
      <c r="C24" s="504">
        <v>17</v>
      </c>
      <c r="D24" s="507">
        <v>0</v>
      </c>
      <c r="E24" s="505">
        <v>0</v>
      </c>
      <c r="F24" s="507">
        <f t="shared" si="0"/>
        <v>0</v>
      </c>
    </row>
    <row r="25" spans="3:6" ht="12.75">
      <c r="C25" s="504">
        <v>18</v>
      </c>
      <c r="D25" s="507">
        <v>0</v>
      </c>
      <c r="E25" s="505">
        <v>0</v>
      </c>
      <c r="F25" s="507">
        <f t="shared" si="0"/>
        <v>0</v>
      </c>
    </row>
    <row r="26" spans="3:6" ht="12.75">
      <c r="C26" s="504">
        <v>19</v>
      </c>
      <c r="D26" s="507">
        <v>0</v>
      </c>
      <c r="E26" s="505">
        <v>0</v>
      </c>
      <c r="F26" s="507">
        <f t="shared" si="0"/>
        <v>0</v>
      </c>
    </row>
    <row r="27" spans="3:6" ht="12.75">
      <c r="C27" s="504">
        <v>20</v>
      </c>
      <c r="D27" s="507">
        <v>0</v>
      </c>
      <c r="E27" s="505">
        <v>0</v>
      </c>
      <c r="F27" s="507">
        <f t="shared" si="0"/>
        <v>0</v>
      </c>
    </row>
    <row r="28" spans="3:6" ht="12.75">
      <c r="C28" s="504">
        <v>21</v>
      </c>
      <c r="D28" s="507">
        <v>0</v>
      </c>
      <c r="E28" s="505">
        <v>0</v>
      </c>
      <c r="F28" s="507">
        <f t="shared" si="0"/>
        <v>0</v>
      </c>
    </row>
    <row r="29" spans="3:6" ht="12.75">
      <c r="C29" s="504">
        <v>22</v>
      </c>
      <c r="D29" s="507">
        <v>0</v>
      </c>
      <c r="E29" s="505">
        <v>0</v>
      </c>
      <c r="F29" s="507">
        <f t="shared" si="0"/>
        <v>0</v>
      </c>
    </row>
    <row r="30" spans="3:6" ht="12.75">
      <c r="C30" s="504">
        <v>23</v>
      </c>
      <c r="D30" s="507">
        <v>0</v>
      </c>
      <c r="E30" s="505">
        <v>0</v>
      </c>
      <c r="F30" s="507">
        <f t="shared" si="0"/>
        <v>0</v>
      </c>
    </row>
    <row r="31" spans="3:6" ht="12.75">
      <c r="C31" s="504">
        <v>24</v>
      </c>
      <c r="D31" s="507">
        <v>0</v>
      </c>
      <c r="E31" s="505">
        <v>0</v>
      </c>
      <c r="F31" s="507">
        <f t="shared" si="0"/>
        <v>0</v>
      </c>
    </row>
    <row r="32" spans="3:6" ht="12.75">
      <c r="C32" s="504">
        <v>1</v>
      </c>
      <c r="D32" s="507">
        <v>0</v>
      </c>
      <c r="E32" s="505">
        <v>0</v>
      </c>
      <c r="F32" s="507">
        <f t="shared" si="0"/>
        <v>0</v>
      </c>
    </row>
    <row r="33" spans="3:6" ht="13.5" thickBot="1">
      <c r="C33" s="509">
        <v>2</v>
      </c>
      <c r="D33" s="507">
        <v>0</v>
      </c>
      <c r="E33" s="505">
        <v>0</v>
      </c>
      <c r="F33" s="507">
        <f t="shared" si="0"/>
        <v>0</v>
      </c>
    </row>
    <row r="34" spans="3:6" s="629" customFormat="1" ht="26.25" thickBot="1">
      <c r="C34" s="625" t="s">
        <v>14</v>
      </c>
      <c r="D34" s="626">
        <f>SUM(D10:D33)</f>
        <v>0</v>
      </c>
      <c r="E34" s="627">
        <f>SUM(E10:E33)</f>
        <v>0</v>
      </c>
      <c r="F34" s="628">
        <f>D34+E34</f>
        <v>0</v>
      </c>
    </row>
    <row r="35" spans="3:6" ht="15.75">
      <c r="C35" s="510"/>
      <c r="D35" s="511"/>
      <c r="E35" s="511"/>
      <c r="F35" s="632">
        <f>ROUND(F34/24,2)</f>
        <v>0</v>
      </c>
    </row>
    <row r="36" spans="3:6" ht="15.75">
      <c r="C36" s="510"/>
      <c r="D36" s="511"/>
      <c r="E36" s="511"/>
      <c r="F36" s="632">
        <f>MAX(F10:F33)</f>
        <v>0</v>
      </c>
    </row>
    <row r="37" spans="3:6" ht="15.75">
      <c r="C37" s="488"/>
      <c r="D37" s="488"/>
      <c r="E37" s="488"/>
      <c r="F37" s="632" t="e">
        <f>ROUND(F35/F36,2)</f>
        <v>#DIV/0!</v>
      </c>
    </row>
    <row r="38" spans="3:6" ht="12.75">
      <c r="C38" s="488"/>
      <c r="D38" s="488"/>
      <c r="E38" s="488"/>
      <c r="F38" s="488"/>
    </row>
    <row r="39" spans="3:6" ht="12.75">
      <c r="C39" s="488"/>
      <c r="D39" s="488"/>
      <c r="E39" s="488"/>
      <c r="F39" s="488"/>
    </row>
    <row r="40" spans="3:6" ht="12.75">
      <c r="C40" s="488"/>
      <c r="D40" s="517" t="s">
        <v>238</v>
      </c>
      <c r="E40" s="517"/>
      <c r="F40" s="488"/>
    </row>
    <row r="41" spans="3:6" ht="12.75">
      <c r="C41" s="488"/>
      <c r="D41" s="825" t="s">
        <v>210</v>
      </c>
      <c r="E41" s="825"/>
      <c r="F41" s="488"/>
    </row>
    <row r="42" spans="3:6" ht="12.75">
      <c r="C42" s="488"/>
      <c r="D42" s="515"/>
      <c r="E42" s="515"/>
      <c r="F42" s="488"/>
    </row>
    <row r="43" spans="3:6" ht="12.75">
      <c r="C43" s="488"/>
      <c r="D43" s="516"/>
      <c r="E43" s="516"/>
      <c r="F43" s="488"/>
    </row>
    <row r="44" spans="3:6" ht="12.75">
      <c r="C44" s="488"/>
      <c r="D44" s="488"/>
      <c r="E44" s="488"/>
      <c r="F44" s="488"/>
    </row>
  </sheetData>
  <sheetProtection/>
  <mergeCells count="5">
    <mergeCell ref="A2:H2"/>
    <mergeCell ref="A3:H3"/>
    <mergeCell ref="A4:H4"/>
    <mergeCell ref="C6:C8"/>
    <mergeCell ref="D41:E41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3"/>
  <sheetViews>
    <sheetView view="pageBreakPreview" zoomScale="80" zoomScaleNormal="85" zoomScaleSheetLayoutView="80" zoomScalePageLayoutView="0" workbookViewId="0" topLeftCell="A1">
      <pane ySplit="7" topLeftCell="A8" activePane="bottomLeft" state="frozen"/>
      <selection pane="topLeft" activeCell="A2" sqref="A2:IV4"/>
      <selection pane="bottomLeft" activeCell="E9" sqref="E9:E32"/>
    </sheetView>
  </sheetViews>
  <sheetFormatPr defaultColWidth="9.140625" defaultRowHeight="12.75"/>
  <cols>
    <col min="3" max="3" width="9.7109375" style="0" customWidth="1"/>
    <col min="4" max="4" width="17.28125" style="0" customWidth="1"/>
    <col min="5" max="5" width="16.57421875" style="0" customWidth="1"/>
    <col min="6" max="6" width="19.7109375" style="0" customWidth="1"/>
    <col min="7" max="7" width="16.28125" style="0" customWidth="1"/>
  </cols>
  <sheetData>
    <row r="1" spans="1:8" ht="30" customHeight="1">
      <c r="A1" s="826" t="s">
        <v>349</v>
      </c>
      <c r="B1" s="826"/>
      <c r="C1" s="826"/>
      <c r="D1" s="826"/>
      <c r="E1" s="826"/>
      <c r="F1" s="826"/>
      <c r="G1" s="826"/>
      <c r="H1" s="826"/>
    </row>
    <row r="2" spans="1:8" ht="20.25" customHeight="1">
      <c r="A2" s="826" t="str">
        <f>Дата!B2</f>
        <v>19 июня 2019 год</v>
      </c>
      <c r="B2" s="826"/>
      <c r="C2" s="826"/>
      <c r="D2" s="826"/>
      <c r="E2" s="826"/>
      <c r="F2" s="826"/>
      <c r="G2" s="826"/>
      <c r="H2" s="826"/>
    </row>
    <row r="3" spans="1:8" ht="20.25" customHeight="1">
      <c r="A3" s="830" t="s">
        <v>345</v>
      </c>
      <c r="B3" s="830"/>
      <c r="C3" s="830"/>
      <c r="D3" s="830"/>
      <c r="E3" s="830"/>
      <c r="F3" s="830"/>
      <c r="G3" s="830"/>
      <c r="H3" s="830"/>
    </row>
    <row r="4" spans="3:6" ht="13.5" thickBot="1">
      <c r="C4" s="488"/>
      <c r="D4" s="488"/>
      <c r="E4" s="488"/>
      <c r="F4" s="488"/>
    </row>
    <row r="5" spans="3:6" ht="36.75" thickBot="1">
      <c r="C5" s="827" t="s">
        <v>22</v>
      </c>
      <c r="D5" s="489" t="s">
        <v>314</v>
      </c>
      <c r="E5" s="490" t="s">
        <v>315</v>
      </c>
      <c r="F5" s="493" t="s">
        <v>219</v>
      </c>
    </row>
    <row r="6" spans="3:6" ht="13.5" thickBot="1">
      <c r="C6" s="828"/>
      <c r="D6" s="494" t="s">
        <v>37</v>
      </c>
      <c r="E6" s="494" t="s">
        <v>37</v>
      </c>
      <c r="F6" s="494" t="s">
        <v>37</v>
      </c>
    </row>
    <row r="7" spans="3:6" ht="13.5" thickBot="1">
      <c r="C7" s="829"/>
      <c r="D7" s="496" t="s">
        <v>220</v>
      </c>
      <c r="E7" s="496" t="s">
        <v>220</v>
      </c>
      <c r="F7" s="496" t="s">
        <v>220</v>
      </c>
    </row>
    <row r="8" spans="3:6" ht="12.75">
      <c r="C8" s="498">
        <v>2</v>
      </c>
      <c r="D8" s="501"/>
      <c r="E8" s="499"/>
      <c r="F8" s="502"/>
    </row>
    <row r="9" spans="3:6" ht="12.75">
      <c r="C9" s="504">
        <v>3</v>
      </c>
      <c r="D9" s="507">
        <v>0</v>
      </c>
      <c r="E9" s="505">
        <v>0</v>
      </c>
      <c r="F9" s="507">
        <f>D9+G9</f>
        <v>0</v>
      </c>
    </row>
    <row r="10" spans="3:6" ht="12.75">
      <c r="C10" s="504">
        <v>4</v>
      </c>
      <c r="D10" s="507">
        <v>0</v>
      </c>
      <c r="E10" s="505">
        <v>0</v>
      </c>
      <c r="F10" s="507">
        <f aca="true" t="shared" si="0" ref="F10:F32">D10+G10</f>
        <v>0</v>
      </c>
    </row>
    <row r="11" spans="3:6" ht="12.75">
      <c r="C11" s="504">
        <v>5</v>
      </c>
      <c r="D11" s="507">
        <v>0</v>
      </c>
      <c r="E11" s="505">
        <v>0</v>
      </c>
      <c r="F11" s="507">
        <f t="shared" si="0"/>
        <v>0</v>
      </c>
    </row>
    <row r="12" spans="3:6" ht="12.75">
      <c r="C12" s="504">
        <v>6</v>
      </c>
      <c r="D12" s="507">
        <v>0</v>
      </c>
      <c r="E12" s="505">
        <v>0</v>
      </c>
      <c r="F12" s="507">
        <f t="shared" si="0"/>
        <v>0</v>
      </c>
    </row>
    <row r="13" spans="3:6" ht="12.75">
      <c r="C13" s="504">
        <v>7</v>
      </c>
      <c r="D13" s="507">
        <v>0</v>
      </c>
      <c r="E13" s="505">
        <v>0</v>
      </c>
      <c r="F13" s="507">
        <f t="shared" si="0"/>
        <v>0</v>
      </c>
    </row>
    <row r="14" spans="3:6" ht="12.75">
      <c r="C14" s="504">
        <v>8</v>
      </c>
      <c r="D14" s="507">
        <v>0</v>
      </c>
      <c r="E14" s="505">
        <v>0</v>
      </c>
      <c r="F14" s="507">
        <f t="shared" si="0"/>
        <v>0</v>
      </c>
    </row>
    <row r="15" spans="3:6" ht="12.75">
      <c r="C15" s="504">
        <v>9</v>
      </c>
      <c r="D15" s="507">
        <v>0</v>
      </c>
      <c r="E15" s="505">
        <v>0</v>
      </c>
      <c r="F15" s="507">
        <f t="shared" si="0"/>
        <v>0</v>
      </c>
    </row>
    <row r="16" spans="3:6" ht="12.75">
      <c r="C16" s="504">
        <v>10</v>
      </c>
      <c r="D16" s="507">
        <v>0</v>
      </c>
      <c r="E16" s="505">
        <v>0</v>
      </c>
      <c r="F16" s="507">
        <f t="shared" si="0"/>
        <v>0</v>
      </c>
    </row>
    <row r="17" spans="3:6" ht="12.75">
      <c r="C17" s="504">
        <v>11</v>
      </c>
      <c r="D17" s="507">
        <v>0</v>
      </c>
      <c r="E17" s="505">
        <v>0</v>
      </c>
      <c r="F17" s="507">
        <f t="shared" si="0"/>
        <v>0</v>
      </c>
    </row>
    <row r="18" spans="3:6" ht="12.75">
      <c r="C18" s="504">
        <v>12</v>
      </c>
      <c r="D18" s="507">
        <v>0</v>
      </c>
      <c r="E18" s="505">
        <v>0</v>
      </c>
      <c r="F18" s="507">
        <f t="shared" si="0"/>
        <v>0</v>
      </c>
    </row>
    <row r="19" spans="3:6" ht="12.75">
      <c r="C19" s="504">
        <v>13</v>
      </c>
      <c r="D19" s="507">
        <v>0</v>
      </c>
      <c r="E19" s="505">
        <v>0</v>
      </c>
      <c r="F19" s="507">
        <f t="shared" si="0"/>
        <v>0</v>
      </c>
    </row>
    <row r="20" spans="3:6" ht="12.75">
      <c r="C20" s="504">
        <v>14</v>
      </c>
      <c r="D20" s="507">
        <v>0</v>
      </c>
      <c r="E20" s="505">
        <v>0</v>
      </c>
      <c r="F20" s="507">
        <f t="shared" si="0"/>
        <v>0</v>
      </c>
    </row>
    <row r="21" spans="3:6" ht="12.75">
      <c r="C21" s="504">
        <v>15</v>
      </c>
      <c r="D21" s="507">
        <v>0</v>
      </c>
      <c r="E21" s="505">
        <v>0</v>
      </c>
      <c r="F21" s="507">
        <f t="shared" si="0"/>
        <v>0</v>
      </c>
    </row>
    <row r="22" spans="3:6" ht="12.75">
      <c r="C22" s="504">
        <v>16</v>
      </c>
      <c r="D22" s="507">
        <v>0</v>
      </c>
      <c r="E22" s="505">
        <v>0</v>
      </c>
      <c r="F22" s="507">
        <f t="shared" si="0"/>
        <v>0</v>
      </c>
    </row>
    <row r="23" spans="3:6" ht="12.75">
      <c r="C23" s="504">
        <v>17</v>
      </c>
      <c r="D23" s="507">
        <v>0</v>
      </c>
      <c r="E23" s="505">
        <v>0</v>
      </c>
      <c r="F23" s="507">
        <f t="shared" si="0"/>
        <v>0</v>
      </c>
    </row>
    <row r="24" spans="3:6" ht="12.75">
      <c r="C24" s="504">
        <v>18</v>
      </c>
      <c r="D24" s="507">
        <v>0</v>
      </c>
      <c r="E24" s="505">
        <v>0</v>
      </c>
      <c r="F24" s="507">
        <f t="shared" si="0"/>
        <v>0</v>
      </c>
    </row>
    <row r="25" spans="3:6" ht="12.75">
      <c r="C25" s="504">
        <v>19</v>
      </c>
      <c r="D25" s="507">
        <v>0</v>
      </c>
      <c r="E25" s="505">
        <v>0</v>
      </c>
      <c r="F25" s="507">
        <f t="shared" si="0"/>
        <v>0</v>
      </c>
    </row>
    <row r="26" spans="3:6" ht="12.75">
      <c r="C26" s="504">
        <v>20</v>
      </c>
      <c r="D26" s="507">
        <v>0</v>
      </c>
      <c r="E26" s="505">
        <v>0</v>
      </c>
      <c r="F26" s="507">
        <f t="shared" si="0"/>
        <v>0</v>
      </c>
    </row>
    <row r="27" spans="3:6" ht="12.75">
      <c r="C27" s="504">
        <v>21</v>
      </c>
      <c r="D27" s="507">
        <v>0</v>
      </c>
      <c r="E27" s="505">
        <v>0</v>
      </c>
      <c r="F27" s="507">
        <f t="shared" si="0"/>
        <v>0</v>
      </c>
    </row>
    <row r="28" spans="3:6" ht="12.75">
      <c r="C28" s="504">
        <v>22</v>
      </c>
      <c r="D28" s="507">
        <v>0</v>
      </c>
      <c r="E28" s="505">
        <v>0</v>
      </c>
      <c r="F28" s="507">
        <f t="shared" si="0"/>
        <v>0</v>
      </c>
    </row>
    <row r="29" spans="3:6" ht="12.75">
      <c r="C29" s="504">
        <v>23</v>
      </c>
      <c r="D29" s="507">
        <v>0</v>
      </c>
      <c r="E29" s="505">
        <v>0</v>
      </c>
      <c r="F29" s="507">
        <f t="shared" si="0"/>
        <v>0</v>
      </c>
    </row>
    <row r="30" spans="3:6" ht="12.75">
      <c r="C30" s="504">
        <v>24</v>
      </c>
      <c r="D30" s="507">
        <v>0</v>
      </c>
      <c r="E30" s="505">
        <v>0</v>
      </c>
      <c r="F30" s="507">
        <f t="shared" si="0"/>
        <v>0</v>
      </c>
    </row>
    <row r="31" spans="3:6" ht="12.75">
      <c r="C31" s="504">
        <v>1</v>
      </c>
      <c r="D31" s="507">
        <v>0</v>
      </c>
      <c r="E31" s="505">
        <v>0</v>
      </c>
      <c r="F31" s="507">
        <f t="shared" si="0"/>
        <v>0</v>
      </c>
    </row>
    <row r="32" spans="3:6" ht="13.5" thickBot="1">
      <c r="C32" s="509">
        <v>2</v>
      </c>
      <c r="D32" s="507">
        <v>0</v>
      </c>
      <c r="E32" s="505">
        <v>0</v>
      </c>
      <c r="F32" s="507">
        <f t="shared" si="0"/>
        <v>0</v>
      </c>
    </row>
    <row r="33" spans="3:6" s="629" customFormat="1" ht="26.25" thickBot="1">
      <c r="C33" s="625" t="s">
        <v>14</v>
      </c>
      <c r="D33" s="626">
        <f>SUM(D9:D32)</f>
        <v>0</v>
      </c>
      <c r="E33" s="627">
        <f>SUM(E9:E32)</f>
        <v>0</v>
      </c>
      <c r="F33" s="628">
        <f>D33+E33</f>
        <v>0</v>
      </c>
    </row>
    <row r="34" spans="3:6" ht="15.75">
      <c r="C34" s="510"/>
      <c r="D34" s="511"/>
      <c r="E34" s="511"/>
      <c r="F34" s="632">
        <f>ROUND(F33/24,2)</f>
        <v>0</v>
      </c>
    </row>
    <row r="35" spans="3:6" ht="15.75">
      <c r="C35" s="510"/>
      <c r="D35" s="511"/>
      <c r="E35" s="511"/>
      <c r="F35" s="632">
        <f>MAX(F9:F32)</f>
        <v>0</v>
      </c>
    </row>
    <row r="36" spans="3:6" ht="15.75">
      <c r="C36" s="488"/>
      <c r="D36" s="488"/>
      <c r="E36" s="488"/>
      <c r="F36" s="632" t="e">
        <f>ROUND(F34/F35,2)</f>
        <v>#DIV/0!</v>
      </c>
    </row>
    <row r="37" spans="3:6" ht="12.75">
      <c r="C37" s="488"/>
      <c r="D37" s="488"/>
      <c r="E37" s="488"/>
      <c r="F37" s="488"/>
    </row>
    <row r="38" spans="3:6" ht="12.75">
      <c r="C38" s="488"/>
      <c r="D38" s="488"/>
      <c r="E38" s="488"/>
      <c r="F38" s="488"/>
    </row>
    <row r="39" spans="3:6" ht="12.75">
      <c r="C39" s="488"/>
      <c r="D39" s="517" t="s">
        <v>238</v>
      </c>
      <c r="E39" s="517"/>
      <c r="F39" s="488"/>
    </row>
    <row r="40" spans="3:6" ht="12.75">
      <c r="C40" s="488"/>
      <c r="D40" s="825" t="s">
        <v>210</v>
      </c>
      <c r="E40" s="825"/>
      <c r="F40" s="488"/>
    </row>
    <row r="41" spans="3:6" ht="12.75">
      <c r="C41" s="488"/>
      <c r="D41" s="515"/>
      <c r="E41" s="515"/>
      <c r="F41" s="488"/>
    </row>
    <row r="42" spans="3:6" ht="12.75">
      <c r="C42" s="488"/>
      <c r="D42" s="516"/>
      <c r="E42" s="516"/>
      <c r="F42" s="488"/>
    </row>
    <row r="43" spans="3:6" ht="12.75">
      <c r="C43" s="488"/>
      <c r="D43" s="488"/>
      <c r="E43" s="488"/>
      <c r="F43" s="488"/>
    </row>
  </sheetData>
  <sheetProtection/>
  <mergeCells count="5">
    <mergeCell ref="A1:H1"/>
    <mergeCell ref="A2:H2"/>
    <mergeCell ref="A3:H3"/>
    <mergeCell ref="C5:C7"/>
    <mergeCell ref="D40:E40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N39"/>
  <sheetViews>
    <sheetView view="pageBreakPreview" zoomScale="60" zoomScalePageLayoutView="0" workbookViewId="0" topLeftCell="A1">
      <selection activeCell="A2" sqref="A2:IV4"/>
    </sheetView>
  </sheetViews>
  <sheetFormatPr defaultColWidth="9.140625" defaultRowHeight="12.75"/>
  <cols>
    <col min="1" max="1" width="43.7109375" style="104" customWidth="1"/>
    <col min="2" max="2" width="8.28125" style="0" customWidth="1"/>
    <col min="3" max="3" width="13.00390625" style="0" customWidth="1"/>
    <col min="4" max="4" width="26.57421875" style="0" customWidth="1"/>
    <col min="5" max="5" width="43.57421875" style="2" customWidth="1"/>
    <col min="6" max="6" width="16.00390625" style="2" customWidth="1"/>
    <col min="7" max="7" width="23.00390625" style="0" customWidth="1"/>
  </cols>
  <sheetData>
    <row r="1" spans="1:14" ht="54" customHeight="1">
      <c r="A1" s="679" t="s">
        <v>339</v>
      </c>
      <c r="B1" s="679"/>
      <c r="C1" s="679"/>
      <c r="D1" s="679"/>
      <c r="E1" s="679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25.5" customHeight="1">
      <c r="A2" s="680" t="str">
        <f>Чеускино!A2</f>
        <v>19 июня 2019 год</v>
      </c>
      <c r="B2" s="680"/>
      <c r="C2" s="680"/>
      <c r="D2" s="680"/>
      <c r="E2" s="680"/>
      <c r="F2" s="211"/>
      <c r="G2" s="211"/>
      <c r="H2" s="211"/>
      <c r="I2" s="211"/>
      <c r="J2" s="211"/>
      <c r="K2" s="211"/>
      <c r="L2" s="211"/>
      <c r="M2" s="211"/>
      <c r="N2" s="211"/>
    </row>
    <row r="3" spans="7:8" ht="16.5" customHeight="1" thickBot="1">
      <c r="G3" s="2"/>
      <c r="H3" s="2"/>
    </row>
    <row r="4" spans="1:8" ht="0.75" customHeight="1">
      <c r="A4" s="142"/>
      <c r="B4" s="693" t="s">
        <v>22</v>
      </c>
      <c r="C4" s="696" t="s">
        <v>285</v>
      </c>
      <c r="D4" s="697"/>
      <c r="E4" s="102"/>
      <c r="F4" s="102"/>
      <c r="G4" s="2"/>
      <c r="H4" s="2"/>
    </row>
    <row r="5" spans="1:8" ht="36.75" customHeight="1">
      <c r="A5" s="142"/>
      <c r="B5" s="694"/>
      <c r="C5" s="698"/>
      <c r="D5" s="699"/>
      <c r="E5" s="49"/>
      <c r="F5" s="49"/>
      <c r="G5" s="2"/>
      <c r="H5" s="2"/>
    </row>
    <row r="6" spans="1:8" ht="51.75" customHeight="1" thickBot="1">
      <c r="A6" s="115"/>
      <c r="B6" s="695"/>
      <c r="C6" s="700"/>
      <c r="D6" s="701"/>
      <c r="E6" s="49"/>
      <c r="F6" s="49"/>
      <c r="G6" s="2"/>
      <c r="H6" s="2"/>
    </row>
    <row r="7" spans="1:8" ht="19.5" customHeight="1">
      <c r="A7" s="115"/>
      <c r="B7" s="37">
        <v>2</v>
      </c>
      <c r="C7" s="702"/>
      <c r="D7" s="703"/>
      <c r="E7" s="93"/>
      <c r="F7" s="93"/>
      <c r="G7" s="2"/>
      <c r="H7" s="2"/>
    </row>
    <row r="8" spans="1:8" ht="19.5" customHeight="1">
      <c r="A8" s="115"/>
      <c r="B8" s="42">
        <v>3</v>
      </c>
      <c r="C8" s="689">
        <f>'У-Ю, Ю  Обь РН-ЮНГ'!E9+'Лемпино РН-ЮНГ'!E9+РОВД!M9+Сингапай!BF9+Чеускино!R9</f>
        <v>1310</v>
      </c>
      <c r="D8" s="690"/>
      <c r="E8" s="93"/>
      <c r="F8" s="93"/>
      <c r="G8" s="2"/>
      <c r="H8" s="160"/>
    </row>
    <row r="9" spans="1:8" ht="19.5" customHeight="1">
      <c r="A9" s="115"/>
      <c r="B9" s="42">
        <v>4</v>
      </c>
      <c r="C9" s="689">
        <f>'У-Ю, Ю  Обь РН-ЮНГ'!E10+'Лемпино РН-ЮНГ'!E10+РОВД!M10+Сингапай!BF10+Чеускино!R10</f>
        <v>1235</v>
      </c>
      <c r="D9" s="690"/>
      <c r="E9" s="93"/>
      <c r="F9" s="93"/>
      <c r="G9" s="2"/>
      <c r="H9" s="160"/>
    </row>
    <row r="10" spans="1:8" ht="19.5" customHeight="1">
      <c r="A10" s="115"/>
      <c r="B10" s="42">
        <v>5</v>
      </c>
      <c r="C10" s="689">
        <f>'У-Ю, Ю  Обь РН-ЮНГ'!E11+'Лемпино РН-ЮНГ'!E11+РОВД!M11+Сингапай!BF11+Чеускино!R11</f>
        <v>1419</v>
      </c>
      <c r="D10" s="690"/>
      <c r="E10" s="93"/>
      <c r="F10" s="93"/>
      <c r="G10" s="2"/>
      <c r="H10" s="160"/>
    </row>
    <row r="11" spans="1:8" ht="19.5" customHeight="1">
      <c r="A11" s="115"/>
      <c r="B11" s="42">
        <v>6</v>
      </c>
      <c r="C11" s="689">
        <f>'У-Ю, Ю  Обь РН-ЮНГ'!E12+'Лемпино РН-ЮНГ'!E12+РОВД!M12+Сингапай!BF12+Чеускино!R12</f>
        <v>1385</v>
      </c>
      <c r="D11" s="690"/>
      <c r="E11" s="93"/>
      <c r="F11" s="93"/>
      <c r="G11" s="2"/>
      <c r="H11" s="160"/>
    </row>
    <row r="12" spans="1:8" ht="19.5" customHeight="1">
      <c r="A12" s="115"/>
      <c r="B12" s="42">
        <v>7</v>
      </c>
      <c r="C12" s="689">
        <f>'У-Ю, Ю  Обь РН-ЮНГ'!E13+'Лемпино РН-ЮНГ'!E13+РОВД!M13+Сингапай!BF13+Чеускино!R13</f>
        <v>1592</v>
      </c>
      <c r="D12" s="690"/>
      <c r="E12" s="93"/>
      <c r="F12" s="93"/>
      <c r="G12" s="2"/>
      <c r="H12" s="160"/>
    </row>
    <row r="13" spans="1:8" ht="19.5" customHeight="1">
      <c r="A13" s="115"/>
      <c r="B13" s="42">
        <v>8</v>
      </c>
      <c r="C13" s="689">
        <f>'У-Ю, Ю  Обь РН-ЮНГ'!E14+'Лемпино РН-ЮНГ'!E14+РОВД!M14+Сингапай!BF14+Чеускино!R14</f>
        <v>1892</v>
      </c>
      <c r="D13" s="690"/>
      <c r="E13" s="93"/>
      <c r="F13" s="93"/>
      <c r="G13" s="2"/>
      <c r="H13" s="160"/>
    </row>
    <row r="14" spans="1:8" ht="19.5" customHeight="1">
      <c r="A14" s="115"/>
      <c r="B14" s="42">
        <v>9</v>
      </c>
      <c r="C14" s="689">
        <f>'У-Ю, Ю  Обь РН-ЮНГ'!E15+'Лемпино РН-ЮНГ'!E15+РОВД!M15+Сингапай!BF15+Чеускино!R15</f>
        <v>1830</v>
      </c>
      <c r="D14" s="690"/>
      <c r="E14" s="93"/>
      <c r="F14" s="93"/>
      <c r="G14" s="2"/>
      <c r="H14" s="160"/>
    </row>
    <row r="15" spans="1:8" ht="19.5" customHeight="1">
      <c r="A15" s="115"/>
      <c r="B15" s="42">
        <v>10</v>
      </c>
      <c r="C15" s="689">
        <f>'У-Ю, Ю  Обь РН-ЮНГ'!E16+'Лемпино РН-ЮНГ'!E16+РОВД!M16+Сингапай!BF16+Чеускино!R16</f>
        <v>1723</v>
      </c>
      <c r="D15" s="690"/>
      <c r="E15" s="93"/>
      <c r="F15" s="93"/>
      <c r="G15" s="2"/>
      <c r="H15" s="160"/>
    </row>
    <row r="16" spans="1:8" ht="19.5" customHeight="1">
      <c r="A16" s="115"/>
      <c r="B16" s="42">
        <v>11</v>
      </c>
      <c r="C16" s="689">
        <f>'У-Ю, Ю  Обь РН-ЮНГ'!E17+'Лемпино РН-ЮНГ'!E17+РОВД!M17+Сингапай!BF17+Чеускино!R17</f>
        <v>1667</v>
      </c>
      <c r="D16" s="690"/>
      <c r="E16" s="93"/>
      <c r="F16" s="93"/>
      <c r="G16" s="2"/>
      <c r="H16" s="160"/>
    </row>
    <row r="17" spans="1:8" ht="19.5" customHeight="1">
      <c r="A17" s="115"/>
      <c r="B17" s="42">
        <v>12</v>
      </c>
      <c r="C17" s="689">
        <f>'У-Ю, Ю  Обь РН-ЮНГ'!E18+'Лемпино РН-ЮНГ'!E18+РОВД!M18+Сингапай!BF18+Чеускино!R18</f>
        <v>1678</v>
      </c>
      <c r="D17" s="690"/>
      <c r="E17" s="93"/>
      <c r="F17" s="93"/>
      <c r="G17" s="2"/>
      <c r="H17" s="160"/>
    </row>
    <row r="18" spans="1:8" ht="19.5" customHeight="1">
      <c r="A18" s="115"/>
      <c r="B18" s="42">
        <v>13</v>
      </c>
      <c r="C18" s="689">
        <f>'У-Ю, Ю  Обь РН-ЮНГ'!E19+'Лемпино РН-ЮНГ'!E19+РОВД!M19+Сингапай!BF19+Чеускино!R19</f>
        <v>1677</v>
      </c>
      <c r="D18" s="690"/>
      <c r="E18" s="93"/>
      <c r="F18" s="93"/>
      <c r="G18" s="2"/>
      <c r="H18" s="160"/>
    </row>
    <row r="19" spans="1:8" ht="19.5" customHeight="1">
      <c r="A19" s="115"/>
      <c r="B19" s="42">
        <v>14</v>
      </c>
      <c r="C19" s="689">
        <f>'У-Ю, Ю  Обь РН-ЮНГ'!E20+'Лемпино РН-ЮНГ'!E20+РОВД!M20+Сингапай!BF20+Чеускино!R20</f>
        <v>1558</v>
      </c>
      <c r="D19" s="690"/>
      <c r="E19" s="93"/>
      <c r="F19" s="93"/>
      <c r="G19" s="2"/>
      <c r="H19" s="160"/>
    </row>
    <row r="20" spans="1:8" ht="19.5" customHeight="1">
      <c r="A20" s="115"/>
      <c r="B20" s="42">
        <v>15</v>
      </c>
      <c r="C20" s="689">
        <f>'У-Ю, Ю  Обь РН-ЮНГ'!E21+'Лемпино РН-ЮНГ'!E21+РОВД!M21+Сингапай!BF21+Чеускино!R21</f>
        <v>1527</v>
      </c>
      <c r="D20" s="690"/>
      <c r="E20" s="93"/>
      <c r="F20" s="93"/>
      <c r="G20" s="2"/>
      <c r="H20" s="160"/>
    </row>
    <row r="21" spans="1:8" ht="19.5" customHeight="1">
      <c r="A21" s="115"/>
      <c r="B21" s="42">
        <v>16</v>
      </c>
      <c r="C21" s="689">
        <f>'У-Ю, Ю  Обь РН-ЮНГ'!E22+'Лемпино РН-ЮНГ'!E22+РОВД!M22+Сингапай!BF22+Чеускино!R22</f>
        <v>1510</v>
      </c>
      <c r="D21" s="690"/>
      <c r="E21" s="93"/>
      <c r="F21" s="93"/>
      <c r="G21" s="2"/>
      <c r="H21" s="160"/>
    </row>
    <row r="22" spans="1:8" ht="19.5" customHeight="1">
      <c r="A22" s="115"/>
      <c r="B22" s="42">
        <v>17</v>
      </c>
      <c r="C22" s="689">
        <f>'У-Ю, Ю  Обь РН-ЮНГ'!E23+'Лемпино РН-ЮНГ'!E23+РОВД!M23+Сингапай!BF23+Чеускино!R23</f>
        <v>1601</v>
      </c>
      <c r="D22" s="690"/>
      <c r="E22" s="93"/>
      <c r="F22" s="93"/>
      <c r="G22" s="2"/>
      <c r="H22" s="160"/>
    </row>
    <row r="23" spans="1:8" ht="19.5" customHeight="1">
      <c r="A23" s="115"/>
      <c r="B23" s="42">
        <v>18</v>
      </c>
      <c r="C23" s="689">
        <f>'У-Ю, Ю  Обь РН-ЮНГ'!E24+'Лемпино РН-ЮНГ'!E24+РОВД!M24+Сингапай!BF24+Чеускино!R24</f>
        <v>1537</v>
      </c>
      <c r="D23" s="690"/>
      <c r="E23" s="93"/>
      <c r="F23" s="93"/>
      <c r="G23" s="2"/>
      <c r="H23" s="160"/>
    </row>
    <row r="24" spans="1:8" ht="19.5" customHeight="1">
      <c r="A24" s="115"/>
      <c r="B24" s="42">
        <v>19</v>
      </c>
      <c r="C24" s="689">
        <f>'У-Ю, Ю  Обь РН-ЮНГ'!E25+'Лемпино РН-ЮНГ'!E25+РОВД!M25+Сингапай!BF25+Чеускино!R25</f>
        <v>1593</v>
      </c>
      <c r="D24" s="690"/>
      <c r="E24" s="93"/>
      <c r="F24" s="93"/>
      <c r="G24" s="2"/>
      <c r="H24" s="160"/>
    </row>
    <row r="25" spans="1:8" ht="19.5" customHeight="1">
      <c r="A25" s="115"/>
      <c r="B25" s="42">
        <v>20</v>
      </c>
      <c r="C25" s="689">
        <f>'У-Ю, Ю  Обь РН-ЮНГ'!E26+'Лемпино РН-ЮНГ'!E26+РОВД!M26+Сингапай!BF26+Чеускино!R26</f>
        <v>1584</v>
      </c>
      <c r="D25" s="690"/>
      <c r="E25" s="93"/>
      <c r="F25" s="93"/>
      <c r="G25" s="2"/>
      <c r="H25" s="160"/>
    </row>
    <row r="26" spans="1:8" ht="19.5" customHeight="1">
      <c r="A26" s="115"/>
      <c r="B26" s="42">
        <v>21</v>
      </c>
      <c r="C26" s="689">
        <f>'У-Ю, Ю  Обь РН-ЮНГ'!E27+'Лемпино РН-ЮНГ'!E27+РОВД!M27+Сингапай!BF27+Чеускино!R27</f>
        <v>1853</v>
      </c>
      <c r="D26" s="690"/>
      <c r="E26" s="93"/>
      <c r="F26" s="93"/>
      <c r="G26" s="2"/>
      <c r="H26" s="160"/>
    </row>
    <row r="27" spans="1:8" ht="19.5" customHeight="1">
      <c r="A27" s="115"/>
      <c r="B27" s="42">
        <v>22</v>
      </c>
      <c r="C27" s="689">
        <f>'У-Ю, Ю  Обь РН-ЮНГ'!E28+'Лемпино РН-ЮНГ'!E28+РОВД!M28+Сингапай!BF28+Чеускино!R28</f>
        <v>1822</v>
      </c>
      <c r="D27" s="690"/>
      <c r="E27" s="93"/>
      <c r="F27" s="93"/>
      <c r="G27" s="2"/>
      <c r="H27" s="160"/>
    </row>
    <row r="28" spans="1:8" ht="19.5" customHeight="1">
      <c r="A28" s="115"/>
      <c r="B28" s="42">
        <v>23</v>
      </c>
      <c r="C28" s="689">
        <f>'У-Ю, Ю  Обь РН-ЮНГ'!E29+'Лемпино РН-ЮНГ'!E29+РОВД!M29+Сингапай!BF29+Чеускино!R29</f>
        <v>1565</v>
      </c>
      <c r="D28" s="690"/>
      <c r="E28" s="93"/>
      <c r="F28" s="93"/>
      <c r="G28" s="2"/>
      <c r="H28" s="160"/>
    </row>
    <row r="29" spans="1:8" ht="19.5" customHeight="1">
      <c r="A29" s="115"/>
      <c r="B29" s="42">
        <v>24</v>
      </c>
      <c r="C29" s="689">
        <f>'У-Ю, Ю  Обь РН-ЮНГ'!E30+'Лемпино РН-ЮНГ'!E30+РОВД!M30+Сингапай!BF30+Чеускино!R30</f>
        <v>1600</v>
      </c>
      <c r="D29" s="690"/>
      <c r="E29" s="93"/>
      <c r="F29" s="93"/>
      <c r="G29" s="2"/>
      <c r="H29" s="160"/>
    </row>
    <row r="30" spans="1:8" ht="19.5" customHeight="1">
      <c r="A30" s="115"/>
      <c r="B30" s="42">
        <v>1</v>
      </c>
      <c r="C30" s="689">
        <f>'У-Ю, Ю  Обь РН-ЮНГ'!E31+'Лемпино РН-ЮНГ'!E31+РОВД!M31+Сингапай!BF31+Чеускино!R31</f>
        <v>1342</v>
      </c>
      <c r="D30" s="690"/>
      <c r="E30" s="93"/>
      <c r="F30" s="93"/>
      <c r="G30" s="2"/>
      <c r="H30" s="160"/>
    </row>
    <row r="31" spans="1:8" ht="19.5" customHeight="1" thickBot="1">
      <c r="A31" s="115"/>
      <c r="B31" s="214">
        <v>2</v>
      </c>
      <c r="C31" s="689">
        <f>'У-Ю, Ю  Обь РН-ЮНГ'!E32+'Лемпино РН-ЮНГ'!E32+РОВД!M32+Сингапай!BF32+Чеускино!R32</f>
        <v>1181</v>
      </c>
      <c r="D31" s="690"/>
      <c r="E31" s="93"/>
      <c r="F31" s="93"/>
      <c r="G31" s="2"/>
      <c r="H31" s="160"/>
    </row>
    <row r="32" spans="1:8" ht="20.25" thickBot="1">
      <c r="A32" s="209"/>
      <c r="B32" s="595"/>
      <c r="C32" s="691">
        <f>SUM(C8:D31)</f>
        <v>37681</v>
      </c>
      <c r="D32" s="692"/>
      <c r="E32" s="82"/>
      <c r="F32" s="82"/>
      <c r="G32" s="2"/>
      <c r="H32" s="2"/>
    </row>
    <row r="33" spans="2:4" ht="24.75" customHeight="1">
      <c r="B33" s="108" t="s">
        <v>50</v>
      </c>
      <c r="C33" s="2"/>
      <c r="D33" s="216">
        <f>SUM(C8:D31)/24</f>
        <v>1570.0416666666667</v>
      </c>
    </row>
    <row r="34" spans="1:4" s="2" customFormat="1" ht="15.75">
      <c r="A34" s="138"/>
      <c r="B34" s="108" t="s">
        <v>51</v>
      </c>
      <c r="D34" s="216">
        <f>MAX(C8:D31)</f>
        <v>1892</v>
      </c>
    </row>
    <row r="35" spans="1:4" s="2" customFormat="1" ht="15.75">
      <c r="A35" s="138"/>
      <c r="B35" s="110" t="s">
        <v>54</v>
      </c>
      <c r="D35" s="217">
        <f>D33/D34</f>
        <v>0.8298317477096547</v>
      </c>
    </row>
    <row r="36" ht="12.75"/>
    <row r="37" ht="12.75"/>
    <row r="38" spans="1:2" ht="12.75">
      <c r="A38" s="138"/>
      <c r="B38" s="2"/>
    </row>
    <row r="39" spans="1:2" ht="12.75">
      <c r="A39" s="138"/>
      <c r="B39" s="2"/>
    </row>
  </sheetData>
  <sheetProtection/>
  <mergeCells count="30">
    <mergeCell ref="A1:E1"/>
    <mergeCell ref="A2:E2"/>
    <mergeCell ref="B4:B6"/>
    <mergeCell ref="C4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rintOptions horizontalCentered="1"/>
  <pageMargins left="0" right="0" top="0.41" bottom="0.16" header="0.5118110236220472" footer="0.16"/>
  <pageSetup fitToWidth="0" fitToHeight="1" horizontalDpi="1200" verticalDpi="1200" orientation="landscape" paperSize="9" scale="72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83" zoomScaleNormal="83" zoomScaleSheetLayoutView="83" zoomScalePageLayoutView="0" workbookViewId="0" topLeftCell="A1">
      <pane xSplit="1" topLeftCell="D1" activePane="topRight" state="frozen"/>
      <selection pane="topLeft" activeCell="X7" sqref="X7"/>
      <selection pane="topRight" activeCell="I37" sqref="I37"/>
    </sheetView>
  </sheetViews>
  <sheetFormatPr defaultColWidth="9.140625" defaultRowHeight="12.75"/>
  <cols>
    <col min="1" max="1" width="12.421875" style="0" hidden="1" customWidth="1"/>
    <col min="2" max="3" width="13.28125" style="0" hidden="1" customWidth="1"/>
    <col min="4" max="4" width="13.28125" style="9" customWidth="1"/>
    <col min="5" max="9" width="27.28125" style="0" customWidth="1"/>
  </cols>
  <sheetData>
    <row r="1" spans="4:9" ht="49.5" customHeight="1">
      <c r="D1" s="704" t="s">
        <v>350</v>
      </c>
      <c r="E1" s="704"/>
      <c r="F1" s="704"/>
      <c r="G1" s="704"/>
      <c r="H1" s="704"/>
      <c r="I1" s="704"/>
    </row>
    <row r="2" spans="4:9" ht="15.75">
      <c r="D2" s="705" t="str">
        <f>КарНУМН!A3</f>
        <v>19 июня 2019 год</v>
      </c>
      <c r="E2" s="705"/>
      <c r="F2" s="705"/>
      <c r="G2" s="705"/>
      <c r="H2" s="705"/>
      <c r="I2" s="705"/>
    </row>
    <row r="3" ht="9.75" customHeight="1"/>
    <row r="4" s="18" customFormat="1" ht="9" customHeight="1" thickBot="1">
      <c r="D4" s="90"/>
    </row>
    <row r="5" spans="1:9" s="18" customFormat="1" ht="66" customHeight="1" thickBot="1">
      <c r="A5" s="835"/>
      <c r="B5" s="835"/>
      <c r="C5" s="818"/>
      <c r="D5" s="91"/>
      <c r="E5" s="653" t="s">
        <v>249</v>
      </c>
      <c r="F5" s="269" t="s">
        <v>202</v>
      </c>
      <c r="G5" s="267" t="s">
        <v>347</v>
      </c>
      <c r="H5" s="647" t="s">
        <v>213</v>
      </c>
      <c r="I5" s="521" t="s">
        <v>214</v>
      </c>
    </row>
    <row r="6" spans="1:9" s="19" customFormat="1" ht="25.5" customHeight="1" thickBot="1">
      <c r="A6" s="69" t="s">
        <v>38</v>
      </c>
      <c r="B6" s="69" t="s">
        <v>39</v>
      </c>
      <c r="C6" s="84" t="s">
        <v>40</v>
      </c>
      <c r="D6" s="49"/>
      <c r="E6" s="77" t="s">
        <v>37</v>
      </c>
      <c r="F6" s="77" t="s">
        <v>37</v>
      </c>
      <c r="G6" s="77" t="s">
        <v>37</v>
      </c>
      <c r="H6" s="77" t="s">
        <v>37</v>
      </c>
      <c r="I6" s="522" t="s">
        <v>37</v>
      </c>
    </row>
    <row r="7" spans="1:9" s="31" customFormat="1" ht="48.75" customHeight="1" thickBot="1">
      <c r="A7" s="47" t="s">
        <v>49</v>
      </c>
      <c r="B7" s="47" t="s">
        <v>49</v>
      </c>
      <c r="C7" s="86" t="s">
        <v>49</v>
      </c>
      <c r="D7" s="92"/>
      <c r="E7" s="264" t="s">
        <v>49</v>
      </c>
      <c r="F7" s="264" t="s">
        <v>49</v>
      </c>
      <c r="G7" s="265" t="s">
        <v>49</v>
      </c>
      <c r="H7" s="265" t="s">
        <v>49</v>
      </c>
      <c r="I7" s="520" t="s">
        <v>49</v>
      </c>
    </row>
    <row r="8" spans="1:9" s="39" customFormat="1" ht="18" customHeight="1">
      <c r="A8" s="73"/>
      <c r="B8" s="76"/>
      <c r="C8" s="87"/>
      <c r="D8" s="93"/>
      <c r="E8" s="37"/>
      <c r="F8" s="37"/>
      <c r="G8" s="67"/>
      <c r="H8" s="67"/>
      <c r="I8" s="62"/>
    </row>
    <row r="9" spans="1:9" s="39" customFormat="1" ht="18" customHeight="1">
      <c r="A9" s="81" t="e">
        <f>#REF!+#REF!+#REF!</f>
        <v>#REF!</v>
      </c>
      <c r="B9" s="80" t="e">
        <f>#REF!+#REF!+#REF!</f>
        <v>#REF!</v>
      </c>
      <c r="C9" s="88" t="e">
        <f>#REF!+#REF!+#REF!</f>
        <v>#REF!</v>
      </c>
      <c r="D9" s="89"/>
      <c r="E9" s="540">
        <f>'Итого по ТЭ'!C8</f>
        <v>4734.03</v>
      </c>
      <c r="F9" s="540">
        <f>'Итого по НУМН'!C8</f>
        <v>719</v>
      </c>
      <c r="G9" s="624">
        <f>' Салым РЖД'!F10+' Куть-Ях РЖД'!F9</f>
        <v>0</v>
      </c>
      <c r="H9" s="624">
        <f>'Итого по РН-ЮНГ'!C8</f>
        <v>1310</v>
      </c>
      <c r="I9" s="542">
        <f>E9+F9+G9+H9</f>
        <v>6763.03</v>
      </c>
    </row>
    <row r="10" spans="1:9" s="39" customFormat="1" ht="18" customHeight="1">
      <c r="A10" s="81" t="e">
        <f>#REF!+#REF!+#REF!</f>
        <v>#REF!</v>
      </c>
      <c r="B10" s="80" t="e">
        <f>#REF!+#REF!+#REF!</f>
        <v>#REF!</v>
      </c>
      <c r="C10" s="88" t="e">
        <f>#REF!+#REF!+#REF!</f>
        <v>#REF!</v>
      </c>
      <c r="D10" s="89"/>
      <c r="E10" s="540">
        <f>'Итого по ТЭ'!C9</f>
        <v>4497.87</v>
      </c>
      <c r="F10" s="540">
        <f>'Итого по НУМН'!C9</f>
        <v>709</v>
      </c>
      <c r="G10" s="624">
        <f>' Салым РЖД'!F11+' Куть-Ях РЖД'!F10</f>
        <v>0</v>
      </c>
      <c r="H10" s="624">
        <f>'Итого по РН-ЮНГ'!C9</f>
        <v>1235</v>
      </c>
      <c r="I10" s="542">
        <f aca="true" t="shared" si="0" ref="I10:I32">E10+F10+G10+H10</f>
        <v>6441.87</v>
      </c>
    </row>
    <row r="11" spans="1:9" s="39" customFormat="1" ht="18" customHeight="1">
      <c r="A11" s="81" t="e">
        <f>#REF!+#REF!+#REF!</f>
        <v>#REF!</v>
      </c>
      <c r="B11" s="80" t="e">
        <f>#REF!+#REF!+#REF!</f>
        <v>#REF!</v>
      </c>
      <c r="C11" s="88" t="e">
        <f>#REF!+#REF!+#REF!</f>
        <v>#REF!</v>
      </c>
      <c r="D11" s="89"/>
      <c r="E11" s="540">
        <f>'Итого по ТЭ'!C10</f>
        <v>4581.4</v>
      </c>
      <c r="F11" s="540">
        <f>'Итого по НУМН'!C10</f>
        <v>709</v>
      </c>
      <c r="G11" s="624">
        <f>' Салым РЖД'!F12+' Куть-Ях РЖД'!F11</f>
        <v>0</v>
      </c>
      <c r="H11" s="624">
        <f>'Итого по РН-ЮНГ'!C10</f>
        <v>1419</v>
      </c>
      <c r="I11" s="542">
        <f t="shared" si="0"/>
        <v>6709.4</v>
      </c>
    </row>
    <row r="12" spans="1:9" s="39" customFormat="1" ht="18" customHeight="1">
      <c r="A12" s="81" t="e">
        <f>#REF!+#REF!+#REF!</f>
        <v>#REF!</v>
      </c>
      <c r="B12" s="80" t="e">
        <f>#REF!+#REF!+#REF!</f>
        <v>#REF!</v>
      </c>
      <c r="C12" s="88" t="e">
        <f>#REF!+#REF!+#REF!</f>
        <v>#REF!</v>
      </c>
      <c r="D12" s="89"/>
      <c r="E12" s="540">
        <f>'Итого по ТЭ'!C11</f>
        <v>4953.16</v>
      </c>
      <c r="F12" s="540">
        <f>'Итого по НУМН'!C11</f>
        <v>746</v>
      </c>
      <c r="G12" s="624">
        <f>' Салым РЖД'!F13+' Куть-Ях РЖД'!F12</f>
        <v>0</v>
      </c>
      <c r="H12" s="624">
        <f>'Итого по РН-ЮНГ'!C11</f>
        <v>1385</v>
      </c>
      <c r="I12" s="542">
        <f t="shared" si="0"/>
        <v>7084.16</v>
      </c>
    </row>
    <row r="13" spans="1:9" s="39" customFormat="1" ht="18" customHeight="1">
      <c r="A13" s="81" t="e">
        <f>#REF!+#REF!+#REF!</f>
        <v>#REF!</v>
      </c>
      <c r="B13" s="80" t="e">
        <f>#REF!+#REF!+#REF!</f>
        <v>#REF!</v>
      </c>
      <c r="C13" s="88" t="e">
        <f>#REF!+#REF!+#REF!</f>
        <v>#REF!</v>
      </c>
      <c r="D13" s="89"/>
      <c r="E13" s="540">
        <f>'Итого по ТЭ'!C12</f>
        <v>5768.17</v>
      </c>
      <c r="F13" s="540">
        <f>'Итого по НУМН'!C12</f>
        <v>871</v>
      </c>
      <c r="G13" s="624">
        <f>' Салым РЖД'!F14+' Куть-Ях РЖД'!F13</f>
        <v>0</v>
      </c>
      <c r="H13" s="624">
        <f>'Итого по РН-ЮНГ'!C12</f>
        <v>1592</v>
      </c>
      <c r="I13" s="542">
        <f t="shared" si="0"/>
        <v>8231.17</v>
      </c>
    </row>
    <row r="14" spans="1:9" s="39" customFormat="1" ht="18" customHeight="1">
      <c r="A14" s="81" t="e">
        <f>#REF!+#REF!+#REF!</f>
        <v>#REF!</v>
      </c>
      <c r="B14" s="80" t="e">
        <f>#REF!+#REF!+#REF!</f>
        <v>#REF!</v>
      </c>
      <c r="C14" s="88" t="e">
        <f>#REF!+#REF!+#REF!</f>
        <v>#REF!</v>
      </c>
      <c r="D14" s="89"/>
      <c r="E14" s="540">
        <f>'Итого по ТЭ'!C13</f>
        <v>6000.220000000001</v>
      </c>
      <c r="F14" s="540">
        <f>'Итого по НУМН'!C13</f>
        <v>997</v>
      </c>
      <c r="G14" s="624">
        <f>' Салым РЖД'!F15+' Куть-Ях РЖД'!F14</f>
        <v>0</v>
      </c>
      <c r="H14" s="624">
        <f>'Итого по РН-ЮНГ'!C13</f>
        <v>1892</v>
      </c>
      <c r="I14" s="542">
        <f t="shared" si="0"/>
        <v>8889.220000000001</v>
      </c>
    </row>
    <row r="15" spans="1:9" s="39" customFormat="1" ht="18" customHeight="1">
      <c r="A15" s="81" t="e">
        <f>#REF!+#REF!+#REF!</f>
        <v>#REF!</v>
      </c>
      <c r="B15" s="80" t="e">
        <f>#REF!+#REF!+#REF!</f>
        <v>#REF!</v>
      </c>
      <c r="C15" s="88" t="e">
        <f>#REF!+#REF!+#REF!</f>
        <v>#REF!</v>
      </c>
      <c r="D15" s="89"/>
      <c r="E15" s="540">
        <f>'Итого по ТЭ'!C14</f>
        <v>6341.75</v>
      </c>
      <c r="F15" s="540">
        <f>'Итого по НУМН'!C14</f>
        <v>997</v>
      </c>
      <c r="G15" s="624">
        <f>' Салым РЖД'!F16+' Куть-Ях РЖД'!F15</f>
        <v>0</v>
      </c>
      <c r="H15" s="624">
        <f>'Итого по РН-ЮНГ'!C14</f>
        <v>1830</v>
      </c>
      <c r="I15" s="542">
        <f t="shared" si="0"/>
        <v>9168.75</v>
      </c>
    </row>
    <row r="16" spans="1:9" s="39" customFormat="1" ht="18" customHeight="1">
      <c r="A16" s="81" t="e">
        <f>#REF!+#REF!+#REF!</f>
        <v>#REF!</v>
      </c>
      <c r="B16" s="80" t="e">
        <f>#REF!+#REF!+#REF!</f>
        <v>#REF!</v>
      </c>
      <c r="C16" s="88" t="e">
        <f>#REF!+#REF!+#REF!</f>
        <v>#REF!</v>
      </c>
      <c r="D16" s="89"/>
      <c r="E16" s="540">
        <f>'Итого по ТЭ'!C15</f>
        <v>6783.46</v>
      </c>
      <c r="F16" s="540">
        <f>'Итого по НУМН'!C15</f>
        <v>1000</v>
      </c>
      <c r="G16" s="624">
        <f>' Салым РЖД'!F17+' Куть-Ях РЖД'!F16</f>
        <v>0</v>
      </c>
      <c r="H16" s="624">
        <f>'Итого по РН-ЮНГ'!C15</f>
        <v>1723</v>
      </c>
      <c r="I16" s="542">
        <f t="shared" si="0"/>
        <v>9506.46</v>
      </c>
    </row>
    <row r="17" spans="1:9" s="39" customFormat="1" ht="18" customHeight="1">
      <c r="A17" s="81" t="e">
        <f>#REF!+#REF!+#REF!</f>
        <v>#REF!</v>
      </c>
      <c r="B17" s="80" t="e">
        <f>#REF!+#REF!+#REF!</f>
        <v>#REF!</v>
      </c>
      <c r="C17" s="88" t="e">
        <f>#REF!+#REF!+#REF!</f>
        <v>#REF!</v>
      </c>
      <c r="D17" s="89"/>
      <c r="E17" s="540">
        <f>'Итого по ТЭ'!C16</f>
        <v>6857.53</v>
      </c>
      <c r="F17" s="540">
        <f>'Итого по НУМН'!C16</f>
        <v>971</v>
      </c>
      <c r="G17" s="624">
        <f>' Салым РЖД'!F18+' Куть-Ях РЖД'!F17</f>
        <v>0</v>
      </c>
      <c r="H17" s="624">
        <f>'Итого по РН-ЮНГ'!C16</f>
        <v>1667</v>
      </c>
      <c r="I17" s="542">
        <f t="shared" si="0"/>
        <v>9495.529999999999</v>
      </c>
    </row>
    <row r="18" spans="1:9" s="39" customFormat="1" ht="18" customHeight="1">
      <c r="A18" s="81" t="e">
        <f>#REF!+#REF!+#REF!</f>
        <v>#REF!</v>
      </c>
      <c r="B18" s="80" t="e">
        <f>#REF!+#REF!+#REF!</f>
        <v>#REF!</v>
      </c>
      <c r="C18" s="88" t="e">
        <f>#REF!+#REF!+#REF!</f>
        <v>#REF!</v>
      </c>
      <c r="D18" s="89"/>
      <c r="E18" s="540">
        <f>'Итого по ТЭ'!C17</f>
        <v>6924.24</v>
      </c>
      <c r="F18" s="540">
        <f>'Итого по НУМН'!C17</f>
        <v>956</v>
      </c>
      <c r="G18" s="624">
        <f>' Салым РЖД'!F19+' Куть-Ях РЖД'!F18</f>
        <v>0</v>
      </c>
      <c r="H18" s="624">
        <f>'Итого по РН-ЮНГ'!C17</f>
        <v>1678</v>
      </c>
      <c r="I18" s="542">
        <f t="shared" si="0"/>
        <v>9558.24</v>
      </c>
    </row>
    <row r="19" spans="1:9" s="39" customFormat="1" ht="18" customHeight="1">
      <c r="A19" s="81" t="e">
        <f>#REF!+#REF!+#REF!</f>
        <v>#REF!</v>
      </c>
      <c r="B19" s="80" t="e">
        <f>#REF!+#REF!+#REF!</f>
        <v>#REF!</v>
      </c>
      <c r="C19" s="88" t="e">
        <f>#REF!+#REF!+#REF!</f>
        <v>#REF!</v>
      </c>
      <c r="D19" s="89"/>
      <c r="E19" s="540">
        <f>'Итого по ТЭ'!C18</f>
        <v>6814.41</v>
      </c>
      <c r="F19" s="540">
        <f>'Итого по НУМН'!C18</f>
        <v>974</v>
      </c>
      <c r="G19" s="624">
        <f>' Салым РЖД'!F20+' Куть-Ях РЖД'!F19</f>
        <v>0</v>
      </c>
      <c r="H19" s="624">
        <f>'Итого по РН-ЮНГ'!C18</f>
        <v>1677</v>
      </c>
      <c r="I19" s="542">
        <f t="shared" si="0"/>
        <v>9465.41</v>
      </c>
    </row>
    <row r="20" spans="1:9" s="39" customFormat="1" ht="18" customHeight="1">
      <c r="A20" s="81" t="e">
        <f>#REF!+#REF!+#REF!</f>
        <v>#REF!</v>
      </c>
      <c r="B20" s="80" t="e">
        <f>#REF!+#REF!+#REF!</f>
        <v>#REF!</v>
      </c>
      <c r="C20" s="88" t="e">
        <f>#REF!+#REF!+#REF!</f>
        <v>#REF!</v>
      </c>
      <c r="D20" s="89"/>
      <c r="E20" s="540">
        <f>'Итого по ТЭ'!C19</f>
        <v>6756.9</v>
      </c>
      <c r="F20" s="540">
        <f>'Итого по НУМН'!C19</f>
        <v>946</v>
      </c>
      <c r="G20" s="624">
        <f>' Салым РЖД'!F21+' Куть-Ях РЖД'!F20</f>
        <v>0</v>
      </c>
      <c r="H20" s="624">
        <f>'Итого по РН-ЮНГ'!C19</f>
        <v>1558</v>
      </c>
      <c r="I20" s="542">
        <f t="shared" si="0"/>
        <v>9260.9</v>
      </c>
    </row>
    <row r="21" spans="1:9" s="39" customFormat="1" ht="18" customHeight="1">
      <c r="A21" s="81" t="e">
        <f>#REF!+#REF!+#REF!</f>
        <v>#REF!</v>
      </c>
      <c r="B21" s="80" t="e">
        <f>#REF!+#REF!+#REF!</f>
        <v>#REF!</v>
      </c>
      <c r="C21" s="88" t="e">
        <f>#REF!+#REF!+#REF!</f>
        <v>#REF!</v>
      </c>
      <c r="D21" s="89"/>
      <c r="E21" s="540">
        <f>'Итого по ТЭ'!C20</f>
        <v>6510.04</v>
      </c>
      <c r="F21" s="540">
        <f>'Итого по НУМН'!C20</f>
        <v>871</v>
      </c>
      <c r="G21" s="624">
        <f>' Салым РЖД'!F22+' Куть-Ях РЖД'!F21</f>
        <v>0</v>
      </c>
      <c r="H21" s="624">
        <f>'Итого по РН-ЮНГ'!C20</f>
        <v>1527</v>
      </c>
      <c r="I21" s="542">
        <f t="shared" si="0"/>
        <v>8908.04</v>
      </c>
    </row>
    <row r="22" spans="1:9" s="39" customFormat="1" ht="18" customHeight="1">
      <c r="A22" s="81" t="e">
        <f>#REF!+#REF!+#REF!</f>
        <v>#REF!</v>
      </c>
      <c r="B22" s="80" t="e">
        <f>#REF!+#REF!+#REF!</f>
        <v>#REF!</v>
      </c>
      <c r="C22" s="88" t="e">
        <f>#REF!+#REF!+#REF!</f>
        <v>#REF!</v>
      </c>
      <c r="D22" s="89"/>
      <c r="E22" s="540">
        <f>'Итого по ТЭ'!C21</f>
        <v>6513.29</v>
      </c>
      <c r="F22" s="540">
        <f>'Итого по НУМН'!C21</f>
        <v>881</v>
      </c>
      <c r="G22" s="624">
        <f>' Салым РЖД'!F23+' Куть-Ях РЖД'!F22</f>
        <v>0</v>
      </c>
      <c r="H22" s="624">
        <f>'Итого по РН-ЮНГ'!C21</f>
        <v>1510</v>
      </c>
      <c r="I22" s="542">
        <f t="shared" si="0"/>
        <v>8904.29</v>
      </c>
    </row>
    <row r="23" spans="1:9" s="39" customFormat="1" ht="18" customHeight="1">
      <c r="A23" s="81" t="e">
        <f>#REF!+#REF!+#REF!</f>
        <v>#REF!</v>
      </c>
      <c r="B23" s="80" t="e">
        <f>#REF!+#REF!+#REF!</f>
        <v>#REF!</v>
      </c>
      <c r="C23" s="88" t="e">
        <f>#REF!+#REF!+#REF!</f>
        <v>#REF!</v>
      </c>
      <c r="D23" s="89"/>
      <c r="E23" s="540">
        <f>'Итого по ТЭ'!C22</f>
        <v>6450.78</v>
      </c>
      <c r="F23" s="540">
        <f>'Итого по НУМН'!C22</f>
        <v>850</v>
      </c>
      <c r="G23" s="624">
        <f>' Салым РЖД'!F24+' Куть-Ях РЖД'!F23</f>
        <v>0</v>
      </c>
      <c r="H23" s="624">
        <f>'Итого по РН-ЮНГ'!C22</f>
        <v>1601</v>
      </c>
      <c r="I23" s="542">
        <f t="shared" si="0"/>
        <v>8901.779999999999</v>
      </c>
    </row>
    <row r="24" spans="1:9" s="39" customFormat="1" ht="18" customHeight="1">
      <c r="A24" s="81" t="e">
        <f>#REF!+#REF!+#REF!</f>
        <v>#REF!</v>
      </c>
      <c r="B24" s="80" t="e">
        <f>#REF!+#REF!+#REF!</f>
        <v>#REF!</v>
      </c>
      <c r="C24" s="88" t="e">
        <f>#REF!+#REF!+#REF!</f>
        <v>#REF!</v>
      </c>
      <c r="D24" s="89"/>
      <c r="E24" s="540">
        <f>'Итого по ТЭ'!C23</f>
        <v>6523.2699999999995</v>
      </c>
      <c r="F24" s="540">
        <f>'Итого по НУМН'!C23</f>
        <v>880</v>
      </c>
      <c r="G24" s="624">
        <f>' Салым РЖД'!F25+' Куть-Ях РЖД'!F24</f>
        <v>0</v>
      </c>
      <c r="H24" s="624">
        <f>'Итого по РН-ЮНГ'!C23</f>
        <v>1537</v>
      </c>
      <c r="I24" s="542">
        <f t="shared" si="0"/>
        <v>8940.27</v>
      </c>
    </row>
    <row r="25" spans="1:9" s="39" customFormat="1" ht="18" customHeight="1">
      <c r="A25" s="81" t="e">
        <f>#REF!+#REF!+#REF!</f>
        <v>#REF!</v>
      </c>
      <c r="B25" s="80" t="e">
        <f>#REF!+#REF!+#REF!</f>
        <v>#REF!</v>
      </c>
      <c r="C25" s="88" t="e">
        <f>#REF!+#REF!+#REF!</f>
        <v>#REF!</v>
      </c>
      <c r="D25" s="89"/>
      <c r="E25" s="540">
        <f>'Итого по ТЭ'!C24</f>
        <v>6613.960000000001</v>
      </c>
      <c r="F25" s="540">
        <f>'Итого по НУМН'!C24</f>
        <v>941</v>
      </c>
      <c r="G25" s="624">
        <f>' Салым РЖД'!F26+' Куть-Ях РЖД'!F25</f>
        <v>0</v>
      </c>
      <c r="H25" s="624">
        <f>'Итого по РН-ЮНГ'!C24</f>
        <v>1593</v>
      </c>
      <c r="I25" s="542">
        <f t="shared" si="0"/>
        <v>9147.960000000001</v>
      </c>
    </row>
    <row r="26" spans="1:9" s="39" customFormat="1" ht="18" customHeight="1">
      <c r="A26" s="81" t="e">
        <f>#REF!+#REF!+#REF!</f>
        <v>#REF!</v>
      </c>
      <c r="B26" s="80" t="e">
        <f>#REF!+#REF!+#REF!</f>
        <v>#REF!</v>
      </c>
      <c r="C26" s="88" t="e">
        <f>#REF!+#REF!+#REF!</f>
        <v>#REF!</v>
      </c>
      <c r="D26" s="89"/>
      <c r="E26" s="540">
        <f>'Итого по ТЭ'!C25</f>
        <v>6763.07</v>
      </c>
      <c r="F26" s="540">
        <f>'Итого по НУМН'!C25</f>
        <v>941</v>
      </c>
      <c r="G26" s="624">
        <f>' Салым РЖД'!F27+' Куть-Ях РЖД'!F26</f>
        <v>0</v>
      </c>
      <c r="H26" s="624">
        <f>'Итого по РН-ЮНГ'!C25</f>
        <v>1584</v>
      </c>
      <c r="I26" s="542">
        <f t="shared" si="0"/>
        <v>9288.07</v>
      </c>
    </row>
    <row r="27" spans="1:9" s="39" customFormat="1" ht="18" customHeight="1">
      <c r="A27" s="81" t="e">
        <f>#REF!+#REF!+#REF!</f>
        <v>#REF!</v>
      </c>
      <c r="B27" s="80" t="e">
        <f>#REF!+#REF!+#REF!</f>
        <v>#REF!</v>
      </c>
      <c r="C27" s="88" t="e">
        <f>#REF!+#REF!+#REF!</f>
        <v>#REF!</v>
      </c>
      <c r="D27" s="89"/>
      <c r="E27" s="540">
        <f>'Итого по ТЭ'!C26</f>
        <v>7220.79</v>
      </c>
      <c r="F27" s="540">
        <f>'Итого по НУМН'!C26</f>
        <v>1020</v>
      </c>
      <c r="G27" s="624">
        <f>' Салым РЖД'!F28+' Куть-Ях РЖД'!F27</f>
        <v>0</v>
      </c>
      <c r="H27" s="624">
        <f>'Итого по РН-ЮНГ'!C26</f>
        <v>1853</v>
      </c>
      <c r="I27" s="542">
        <f t="shared" si="0"/>
        <v>10093.79</v>
      </c>
    </row>
    <row r="28" spans="1:9" s="39" customFormat="1" ht="18" customHeight="1">
      <c r="A28" s="81" t="e">
        <f>#REF!+#REF!+#REF!</f>
        <v>#REF!</v>
      </c>
      <c r="B28" s="80" t="e">
        <f>#REF!+#REF!+#REF!</f>
        <v>#REF!</v>
      </c>
      <c r="C28" s="88" t="e">
        <f>#REF!+#REF!+#REF!</f>
        <v>#REF!</v>
      </c>
      <c r="D28" s="89"/>
      <c r="E28" s="540">
        <f>'Итого по ТЭ'!C27</f>
        <v>7446.88</v>
      </c>
      <c r="F28" s="540">
        <f>'Итого по НУМН'!C27</f>
        <v>1072</v>
      </c>
      <c r="G28" s="624">
        <f>' Салым РЖД'!F29+' Куть-Ях РЖД'!F28</f>
        <v>0</v>
      </c>
      <c r="H28" s="624">
        <f>'Итого по РН-ЮНГ'!C27</f>
        <v>1822</v>
      </c>
      <c r="I28" s="542">
        <f t="shared" si="0"/>
        <v>10340.880000000001</v>
      </c>
    </row>
    <row r="29" spans="1:9" s="39" customFormat="1" ht="18" customHeight="1">
      <c r="A29" s="81" t="e">
        <f>#REF!+#REF!+#REF!</f>
        <v>#REF!</v>
      </c>
      <c r="B29" s="80" t="e">
        <f>#REF!+#REF!+#REF!</f>
        <v>#REF!</v>
      </c>
      <c r="C29" s="88" t="e">
        <f>#REF!+#REF!+#REF!</f>
        <v>#REF!</v>
      </c>
      <c r="D29" s="89"/>
      <c r="E29" s="540">
        <f>'Итого по ТЭ'!C28</f>
        <v>7203.37</v>
      </c>
      <c r="F29" s="540">
        <f>'Итого по НУМН'!C28</f>
        <v>1020</v>
      </c>
      <c r="G29" s="624">
        <f>' Салым РЖД'!F30+' Куть-Ях РЖД'!F29</f>
        <v>0</v>
      </c>
      <c r="H29" s="624">
        <f>'Итого по РН-ЮНГ'!C28</f>
        <v>1565</v>
      </c>
      <c r="I29" s="542">
        <f t="shared" si="0"/>
        <v>9788.369999999999</v>
      </c>
    </row>
    <row r="30" spans="1:9" s="39" customFormat="1" ht="18" customHeight="1">
      <c r="A30" s="81" t="e">
        <f>#REF!+#REF!+#REF!</f>
        <v>#REF!</v>
      </c>
      <c r="B30" s="80" t="e">
        <f>#REF!+#REF!+#REF!</f>
        <v>#REF!</v>
      </c>
      <c r="C30" s="88" t="e">
        <f>#REF!+#REF!+#REF!</f>
        <v>#REF!</v>
      </c>
      <c r="D30" s="89"/>
      <c r="E30" s="540">
        <f>'Итого по ТЭ'!C29</f>
        <v>6270.97</v>
      </c>
      <c r="F30" s="540">
        <f>'Итого по НУМН'!C29</f>
        <v>944</v>
      </c>
      <c r="G30" s="624">
        <f>' Салым РЖД'!F31+' Куть-Ях РЖД'!F30</f>
        <v>0</v>
      </c>
      <c r="H30" s="624">
        <f>'Итого по РН-ЮНГ'!C29</f>
        <v>1600</v>
      </c>
      <c r="I30" s="542">
        <f t="shared" si="0"/>
        <v>8814.970000000001</v>
      </c>
    </row>
    <row r="31" spans="1:9" s="39" customFormat="1" ht="18" customHeight="1">
      <c r="A31" s="81" t="e">
        <f>#REF!+#REF!+#REF!</f>
        <v>#REF!</v>
      </c>
      <c r="B31" s="80" t="e">
        <f>#REF!+#REF!+#REF!</f>
        <v>#REF!</v>
      </c>
      <c r="C31" s="88" t="e">
        <f>#REF!+#REF!+#REF!</f>
        <v>#REF!</v>
      </c>
      <c r="D31" s="89"/>
      <c r="E31" s="540">
        <f>'Итого по ТЭ'!C30</f>
        <v>5379.5</v>
      </c>
      <c r="F31" s="540">
        <f>'Итого по НУМН'!C30</f>
        <v>843</v>
      </c>
      <c r="G31" s="624">
        <f>' Салым РЖД'!F32+' Куть-Ях РЖД'!F31</f>
        <v>0</v>
      </c>
      <c r="H31" s="624">
        <f>'Итого по РН-ЮНГ'!C30</f>
        <v>1342</v>
      </c>
      <c r="I31" s="542">
        <f t="shared" si="0"/>
        <v>7564.5</v>
      </c>
    </row>
    <row r="32" spans="1:9" s="39" customFormat="1" ht="18" customHeight="1" thickBot="1">
      <c r="A32" s="81" t="e">
        <f>#REF!+#REF!+#REF!</f>
        <v>#REF!</v>
      </c>
      <c r="B32" s="80" t="e">
        <f>#REF!+#REF!+#REF!</f>
        <v>#REF!</v>
      </c>
      <c r="C32" s="88" t="e">
        <f>#REF!+#REF!+#REF!</f>
        <v>#REF!</v>
      </c>
      <c r="D32" s="89"/>
      <c r="E32" s="540">
        <f>'Итого по ТЭ'!C31</f>
        <v>4883.8</v>
      </c>
      <c r="F32" s="540">
        <f>'Итого по НУМН'!C31</f>
        <v>783</v>
      </c>
      <c r="G32" s="624">
        <f>' Салым РЖД'!F33+' Куть-Ях РЖД'!F32</f>
        <v>0</v>
      </c>
      <c r="H32" s="624">
        <f>'Итого по РН-ЮНГ'!C31</f>
        <v>1181</v>
      </c>
      <c r="I32" s="542">
        <f t="shared" si="0"/>
        <v>6847.8</v>
      </c>
    </row>
    <row r="33" spans="1:9" ht="16.5" thickBot="1">
      <c r="A33" s="20" t="e">
        <f>SUM(A9:A32)</f>
        <v>#REF!</v>
      </c>
      <c r="B33" s="20" t="e">
        <f>SUM(B9:B32)</f>
        <v>#REF!</v>
      </c>
      <c r="C33" s="20" t="e">
        <f>SUM(C9:C32)</f>
        <v>#REF!</v>
      </c>
      <c r="D33" s="94"/>
      <c r="E33" s="541">
        <f>SUM(E9:E32)</f>
        <v>148792.86</v>
      </c>
      <c r="F33" s="541">
        <f>SUM(F9:F32)</f>
        <v>21641</v>
      </c>
      <c r="G33" s="543">
        <f>SUM(G9:G32)</f>
        <v>0</v>
      </c>
      <c r="H33" s="543">
        <f>SUM(H9:H32)</f>
        <v>37681</v>
      </c>
      <c r="I33" s="544">
        <f>SUM(I9:I32)</f>
        <v>208114.86</v>
      </c>
    </row>
    <row r="34" spans="1:9" ht="21" customHeight="1">
      <c r="A34" s="83"/>
      <c r="B34" s="83"/>
      <c r="C34" s="83"/>
      <c r="E34" s="83"/>
      <c r="F34" s="83"/>
      <c r="G34" s="83"/>
      <c r="H34" s="83" t="s">
        <v>73</v>
      </c>
      <c r="I34" s="83">
        <f>I33/24</f>
        <v>8671.4525</v>
      </c>
    </row>
    <row r="35" spans="1:9" ht="21" customHeight="1">
      <c r="A35" s="83"/>
      <c r="B35" s="83"/>
      <c r="C35" s="83"/>
      <c r="E35" s="83"/>
      <c r="F35" s="83"/>
      <c r="G35" s="83"/>
      <c r="H35" s="83" t="s">
        <v>74</v>
      </c>
      <c r="I35" s="83">
        <f>MAX(I9:I32)</f>
        <v>10340.880000000001</v>
      </c>
    </row>
    <row r="36" spans="4:9" ht="21" customHeight="1">
      <c r="D36" s="834"/>
      <c r="E36" s="834"/>
      <c r="G36" s="109"/>
      <c r="H36" s="109" t="s">
        <v>75</v>
      </c>
      <c r="I36" s="537">
        <f>I34/I35</f>
        <v>0.8385604029831115</v>
      </c>
    </row>
    <row r="37" spans="1:9" s="18" customFormat="1" ht="22.5" customHeight="1">
      <c r="A37"/>
      <c r="B37"/>
      <c r="C37"/>
      <c r="D37" s="9"/>
      <c r="E37"/>
      <c r="F37"/>
      <c r="G37"/>
      <c r="H37"/>
      <c r="I37"/>
    </row>
    <row r="38" ht="114" customHeight="1" hidden="1"/>
    <row r="39" spans="4:9" ht="13.5" customHeight="1">
      <c r="D39" s="831" t="s">
        <v>238</v>
      </c>
      <c r="E39" s="831"/>
      <c r="F39" s="831"/>
      <c r="G39" s="102"/>
      <c r="H39" s="102"/>
      <c r="I39" s="102"/>
    </row>
    <row r="40" spans="4:10" ht="15.75" customHeight="1">
      <c r="D40" s="97" t="s">
        <v>210</v>
      </c>
      <c r="E40" s="97"/>
      <c r="F40" s="97"/>
      <c r="G40" s="102"/>
      <c r="H40" s="102"/>
      <c r="I40" s="103"/>
      <c r="J40" s="98"/>
    </row>
    <row r="41" spans="4:9" ht="12.75">
      <c r="D41" s="97"/>
      <c r="E41" s="97"/>
      <c r="F41" s="97"/>
      <c r="G41" s="97"/>
      <c r="H41" s="97"/>
      <c r="I41" s="102"/>
    </row>
    <row r="42" spans="4:10" ht="12.75">
      <c r="D42" s="832" t="s">
        <v>257</v>
      </c>
      <c r="E42" s="832"/>
      <c r="F42" s="832"/>
      <c r="G42" s="832"/>
      <c r="H42" s="832"/>
      <c r="I42" s="832"/>
      <c r="J42" s="832"/>
    </row>
    <row r="43" spans="4:10" ht="12.75">
      <c r="D43" s="284" t="s">
        <v>250</v>
      </c>
      <c r="E43" s="284"/>
      <c r="F43" s="284"/>
      <c r="G43" s="284"/>
      <c r="H43" s="284"/>
      <c r="I43" s="286"/>
      <c r="J43" s="115"/>
    </row>
    <row r="44" spans="4:9" ht="12.75">
      <c r="D44" s="98"/>
      <c r="E44" s="98"/>
      <c r="F44" s="98"/>
      <c r="G44" s="98"/>
      <c r="H44" s="98"/>
      <c r="I44" s="185"/>
    </row>
    <row r="45" spans="4:8" ht="12.75">
      <c r="D45" s="831" t="s">
        <v>209</v>
      </c>
      <c r="E45" s="831"/>
      <c r="F45" s="831"/>
      <c r="G45" s="831"/>
      <c r="H45" s="831"/>
    </row>
    <row r="46" spans="4:9" ht="12.75">
      <c r="D46" s="831" t="s">
        <v>215</v>
      </c>
      <c r="E46" s="831"/>
      <c r="F46" s="98"/>
      <c r="I46" s="99"/>
    </row>
    <row r="47" spans="4:9" ht="12.75">
      <c r="D47" s="833"/>
      <c r="E47" s="833"/>
      <c r="F47" s="833"/>
      <c r="G47" s="2"/>
      <c r="H47" s="2"/>
      <c r="I47" s="2"/>
    </row>
    <row r="48" spans="4:9" ht="12.75">
      <c r="D48" s="831" t="str">
        <f>ЭН!BP46</f>
        <v>Начальник сектора У и Р ЭЭ ООО «РН – Юганскнефтегаз»</v>
      </c>
      <c r="E48" s="831"/>
      <c r="F48" s="831"/>
      <c r="G48" s="831"/>
      <c r="H48" s="831"/>
      <c r="I48" s="831"/>
    </row>
    <row r="49" spans="4:9" ht="12.75">
      <c r="D49" s="831" t="str">
        <f>ЭН!BP47</f>
        <v>Маркова В.В.</v>
      </c>
      <c r="E49" s="831"/>
      <c r="F49" s="831"/>
      <c r="G49" s="6"/>
      <c r="H49" s="6"/>
      <c r="I49" s="112"/>
    </row>
    <row r="50" spans="4:9" ht="12.75">
      <c r="D50" s="101"/>
      <c r="F50" s="104"/>
      <c r="I50" s="2"/>
    </row>
    <row r="51" spans="4:10" ht="12.75">
      <c r="D51" s="18"/>
      <c r="E51" s="18"/>
      <c r="F51" s="18"/>
      <c r="G51" s="18"/>
      <c r="H51" s="18"/>
      <c r="I51" s="18"/>
      <c r="J51" s="18"/>
    </row>
  </sheetData>
  <sheetProtection/>
  <mergeCells count="11">
    <mergeCell ref="D36:E36"/>
    <mergeCell ref="A5:C5"/>
    <mergeCell ref="D1:I1"/>
    <mergeCell ref="D2:I2"/>
    <mergeCell ref="D49:F49"/>
    <mergeCell ref="D42:J42"/>
    <mergeCell ref="D39:F39"/>
    <mergeCell ref="D47:F47"/>
    <mergeCell ref="D46:E46"/>
    <mergeCell ref="D48:I48"/>
    <mergeCell ref="D45:H45"/>
  </mergeCells>
  <printOptions horizontalCentered="1"/>
  <pageMargins left="0" right="0" top="0.1968503937007874" bottom="0" header="0.5118110236220472" footer="0.5118110236220472"/>
  <pageSetup horizontalDpi="1200" verticalDpi="1200" orientation="portrait" paperSize="9" scale="64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X56"/>
  <sheetViews>
    <sheetView view="pageBreakPreview" zoomScale="97" zoomScaleSheetLayoutView="97" zoomScalePageLayoutView="0" workbookViewId="0" topLeftCell="A1">
      <pane xSplit="1" ySplit="2" topLeftCell="B3" activePane="bottomRight" state="frozen"/>
      <selection pane="topLeft" activeCell="U23" sqref="U23"/>
      <selection pane="topRight" activeCell="U23" sqref="U23"/>
      <selection pane="bottomLeft" activeCell="U23" sqref="U23"/>
      <selection pane="bottomRight" activeCell="U23" sqref="U23"/>
    </sheetView>
  </sheetViews>
  <sheetFormatPr defaultColWidth="9.140625" defaultRowHeight="12.75"/>
  <cols>
    <col min="1" max="1" width="8.57421875" style="0" customWidth="1"/>
    <col min="3" max="3" width="10.140625" style="0" customWidth="1"/>
    <col min="5" max="5" width="11.00390625" style="0" customWidth="1"/>
    <col min="6" max="6" width="13.421875" style="0" customWidth="1"/>
    <col min="7" max="8" width="14.00390625" style="0" customWidth="1"/>
    <col min="9" max="9" width="2.7109375" style="0" customWidth="1"/>
    <col min="10" max="10" width="12.7109375" style="0" hidden="1" customWidth="1"/>
    <col min="11" max="11" width="11.00390625" style="0" hidden="1" customWidth="1"/>
    <col min="12" max="12" width="12.7109375" style="0" customWidth="1"/>
    <col min="13" max="13" width="11.00390625" style="0" customWidth="1"/>
    <col min="14" max="14" width="12.7109375" style="0" customWidth="1"/>
    <col min="15" max="15" width="11.00390625" style="0" customWidth="1"/>
    <col min="16" max="16" width="12.7109375" style="0" customWidth="1"/>
    <col min="17" max="19" width="11.00390625" style="0" customWidth="1"/>
    <col min="20" max="20" width="12.7109375" style="0" customWidth="1"/>
    <col min="21" max="21" width="11.00390625" style="0" customWidth="1"/>
    <col min="22" max="22" width="12.00390625" style="0" customWidth="1"/>
    <col min="23" max="23" width="2.7109375" style="0" customWidth="1"/>
    <col min="24" max="24" width="17.7109375" style="0" customWidth="1"/>
  </cols>
  <sheetData>
    <row r="1" spans="1:24" s="18" customFormat="1" ht="34.5" customHeight="1" thickBot="1">
      <c r="A1" s="693" t="s">
        <v>22</v>
      </c>
      <c r="B1" s="845" t="s">
        <v>78</v>
      </c>
      <c r="C1" s="846"/>
      <c r="D1" s="846"/>
      <c r="E1" s="846"/>
      <c r="F1" s="847" t="s">
        <v>53</v>
      </c>
      <c r="G1" s="848"/>
      <c r="H1" s="836" t="s">
        <v>79</v>
      </c>
      <c r="I1" s="839"/>
      <c r="J1" s="845" t="s">
        <v>77</v>
      </c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9"/>
      <c r="V1" s="836" t="s">
        <v>82</v>
      </c>
      <c r="W1" s="839"/>
      <c r="X1" s="836" t="s">
        <v>239</v>
      </c>
    </row>
    <row r="2" spans="1:24" s="19" customFormat="1" ht="33.75" customHeight="1" thickBot="1">
      <c r="A2" s="694"/>
      <c r="B2" s="753" t="s">
        <v>240</v>
      </c>
      <c r="C2" s="754"/>
      <c r="D2" s="753" t="s">
        <v>241</v>
      </c>
      <c r="E2" s="754"/>
      <c r="F2" s="748" t="s">
        <v>68</v>
      </c>
      <c r="G2" s="749"/>
      <c r="H2" s="837"/>
      <c r="I2" s="840"/>
      <c r="J2" s="841" t="s">
        <v>242</v>
      </c>
      <c r="K2" s="842"/>
      <c r="L2" s="841" t="s">
        <v>243</v>
      </c>
      <c r="M2" s="842"/>
      <c r="N2" s="841" t="s">
        <v>244</v>
      </c>
      <c r="O2" s="842"/>
      <c r="P2" s="843" t="s">
        <v>134</v>
      </c>
      <c r="Q2" s="844"/>
      <c r="R2" s="843" t="s">
        <v>245</v>
      </c>
      <c r="S2" s="844"/>
      <c r="T2" s="843" t="s">
        <v>133</v>
      </c>
      <c r="U2" s="844"/>
      <c r="V2" s="837"/>
      <c r="W2" s="840"/>
      <c r="X2" s="837"/>
    </row>
    <row r="3" spans="1:24" s="31" customFormat="1" ht="48.75" customHeight="1" thickBot="1">
      <c r="A3" s="695"/>
      <c r="B3" s="225" t="s">
        <v>69</v>
      </c>
      <c r="C3" s="51" t="s">
        <v>18</v>
      </c>
      <c r="D3" s="50" t="s">
        <v>90</v>
      </c>
      <c r="E3" s="51" t="s">
        <v>18</v>
      </c>
      <c r="F3" s="341" t="s">
        <v>19</v>
      </c>
      <c r="G3" s="454" t="s">
        <v>18</v>
      </c>
      <c r="H3" s="838"/>
      <c r="I3" s="840"/>
      <c r="J3" s="463" t="s">
        <v>27</v>
      </c>
      <c r="K3" s="48" t="s">
        <v>20</v>
      </c>
      <c r="L3" s="46" t="s">
        <v>28</v>
      </c>
      <c r="M3" s="17" t="s">
        <v>20</v>
      </c>
      <c r="N3" s="462" t="s">
        <v>203</v>
      </c>
      <c r="O3" s="17" t="s">
        <v>20</v>
      </c>
      <c r="P3" s="469" t="s">
        <v>84</v>
      </c>
      <c r="Q3" s="17" t="s">
        <v>45</v>
      </c>
      <c r="R3" s="467" t="s">
        <v>179</v>
      </c>
      <c r="S3" s="17" t="s">
        <v>45</v>
      </c>
      <c r="T3" s="469" t="s">
        <v>29</v>
      </c>
      <c r="U3" s="17" t="s">
        <v>18</v>
      </c>
      <c r="V3" s="838"/>
      <c r="W3" s="840"/>
      <c r="X3" s="838"/>
    </row>
    <row r="4" spans="1:24" s="155" customFormat="1" ht="12.75" customHeight="1" thickBot="1">
      <c r="A4" s="153">
        <v>2</v>
      </c>
      <c r="B4" s="464">
        <v>1853</v>
      </c>
      <c r="C4" s="466"/>
      <c r="D4" s="474" t="s">
        <v>211</v>
      </c>
      <c r="E4" s="161"/>
      <c r="F4" s="40">
        <v>225.3</v>
      </c>
      <c r="G4" s="41"/>
      <c r="H4" s="170"/>
      <c r="I4" s="840"/>
      <c r="J4" s="227">
        <v>17353.2</v>
      </c>
      <c r="K4" s="15"/>
      <c r="L4" s="229">
        <v>18451</v>
      </c>
      <c r="M4" s="459"/>
      <c r="N4" s="227">
        <v>9001.8</v>
      </c>
      <c r="O4" s="465"/>
      <c r="P4" s="227">
        <v>12831.9</v>
      </c>
      <c r="Q4" s="465"/>
      <c r="R4" s="7">
        <v>8663</v>
      </c>
      <c r="S4" s="465"/>
      <c r="T4" s="7">
        <v>4483</v>
      </c>
      <c r="U4" s="15"/>
      <c r="V4" s="170"/>
      <c r="W4" s="840"/>
      <c r="X4" s="38"/>
    </row>
    <row r="5" spans="1:24" s="157" customFormat="1" ht="12.75" customHeight="1" thickBot="1">
      <c r="A5" s="156">
        <v>3</v>
      </c>
      <c r="B5" s="464">
        <v>1853</v>
      </c>
      <c r="C5" s="472">
        <f>(B5-B4)*1</f>
        <v>0</v>
      </c>
      <c r="D5" s="474" t="s">
        <v>211</v>
      </c>
      <c r="E5" s="162">
        <f>(D5-D4)*1</f>
        <v>0</v>
      </c>
      <c r="F5" s="468">
        <v>225.3</v>
      </c>
      <c r="G5" s="44">
        <f>(F5-F4)*1</f>
        <v>0</v>
      </c>
      <c r="H5" s="171">
        <f>C5+E5+G5</f>
        <v>0</v>
      </c>
      <c r="I5" s="840"/>
      <c r="J5" s="230">
        <v>17353.2</v>
      </c>
      <c r="K5" s="14">
        <f>(J5-J4)*40</f>
        <v>0</v>
      </c>
      <c r="L5" s="229">
        <v>18451</v>
      </c>
      <c r="M5" s="266">
        <f>(L5-L4)*40</f>
        <v>0</v>
      </c>
      <c r="N5" s="227">
        <v>9001.8</v>
      </c>
      <c r="O5" s="471">
        <f>(N5-N4)*40</f>
        <v>0</v>
      </c>
      <c r="P5" s="227">
        <v>12831.9</v>
      </c>
      <c r="Q5" s="471">
        <f>(P5-P4)*60</f>
        <v>0</v>
      </c>
      <c r="R5" s="7">
        <v>8663</v>
      </c>
      <c r="S5" s="471">
        <f>(R5-R4)*60</f>
        <v>0</v>
      </c>
      <c r="T5" s="7">
        <v>4483</v>
      </c>
      <c r="U5" s="14">
        <f aca="true" t="shared" si="0" ref="U5:U28">(T5-T4)*1</f>
        <v>0</v>
      </c>
      <c r="V5" s="171">
        <f>K5+M5+O5+Q5+U5</f>
        <v>0</v>
      </c>
      <c r="W5" s="840"/>
      <c r="X5" s="172">
        <f>H5+V5</f>
        <v>0</v>
      </c>
    </row>
    <row r="6" spans="1:24" s="157" customFormat="1" ht="12.75" customHeight="1" thickBot="1">
      <c r="A6" s="158">
        <v>4</v>
      </c>
      <c r="B6" s="464">
        <v>1853</v>
      </c>
      <c r="C6" s="472">
        <f aca="true" t="shared" si="1" ref="C6:C15">(B6-B5)*1</f>
        <v>0</v>
      </c>
      <c r="D6" s="474" t="s">
        <v>211</v>
      </c>
      <c r="E6" s="162">
        <f aca="true" t="shared" si="2" ref="E6:E28">(D6-D5)*1</f>
        <v>0</v>
      </c>
      <c r="F6" s="468">
        <v>225.3</v>
      </c>
      <c r="G6" s="44">
        <f aca="true" t="shared" si="3" ref="G6:G28">(F6-F5)*1</f>
        <v>0</v>
      </c>
      <c r="H6" s="171">
        <f aca="true" t="shared" si="4" ref="H6:H28">C6+E6+G6</f>
        <v>0</v>
      </c>
      <c r="I6" s="840"/>
      <c r="J6" s="230">
        <v>17353.2</v>
      </c>
      <c r="K6" s="14">
        <f aca="true" t="shared" si="5" ref="K6:K28">(J6-J5)*40</f>
        <v>0</v>
      </c>
      <c r="L6" s="229">
        <v>18451</v>
      </c>
      <c r="M6" s="266">
        <f aca="true" t="shared" si="6" ref="M6:M28">(L6-L5)*40</f>
        <v>0</v>
      </c>
      <c r="N6" s="227">
        <v>9001.8</v>
      </c>
      <c r="O6" s="471">
        <f aca="true" t="shared" si="7" ref="O6:O28">(N6-N5)*40</f>
        <v>0</v>
      </c>
      <c r="P6" s="227">
        <v>12831.9</v>
      </c>
      <c r="Q6" s="471">
        <f aca="true" t="shared" si="8" ref="Q6:Q28">(P6-P5)*60</f>
        <v>0</v>
      </c>
      <c r="R6" s="7">
        <v>8663</v>
      </c>
      <c r="S6" s="471">
        <f aca="true" t="shared" si="9" ref="S6:S28">(R6-R5)*60</f>
        <v>0</v>
      </c>
      <c r="T6" s="7">
        <v>4483</v>
      </c>
      <c r="U6" s="14">
        <f t="shared" si="0"/>
        <v>0</v>
      </c>
      <c r="V6" s="171">
        <f aca="true" t="shared" si="10" ref="V6:V28">K6+M6+O6+Q6+U6</f>
        <v>0</v>
      </c>
      <c r="W6" s="840"/>
      <c r="X6" s="172">
        <f aca="true" t="shared" si="11" ref="X6:X28">H6+V6</f>
        <v>0</v>
      </c>
    </row>
    <row r="7" spans="1:24" s="157" customFormat="1" ht="12.75" customHeight="1" thickBot="1">
      <c r="A7" s="158">
        <v>5</v>
      </c>
      <c r="B7" s="464">
        <v>1853</v>
      </c>
      <c r="C7" s="472">
        <f t="shared" si="1"/>
        <v>0</v>
      </c>
      <c r="D7" s="474" t="s">
        <v>211</v>
      </c>
      <c r="E7" s="162">
        <f t="shared" si="2"/>
        <v>0</v>
      </c>
      <c r="F7" s="468">
        <v>225.3</v>
      </c>
      <c r="G7" s="44">
        <f t="shared" si="3"/>
        <v>0</v>
      </c>
      <c r="H7" s="171">
        <f t="shared" si="4"/>
        <v>0</v>
      </c>
      <c r="I7" s="840"/>
      <c r="J7" s="230">
        <v>17353.2</v>
      </c>
      <c r="K7" s="14">
        <f t="shared" si="5"/>
        <v>0</v>
      </c>
      <c r="L7" s="229">
        <v>18451</v>
      </c>
      <c r="M7" s="266">
        <f t="shared" si="6"/>
        <v>0</v>
      </c>
      <c r="N7" s="227">
        <v>9001.8</v>
      </c>
      <c r="O7" s="471">
        <f t="shared" si="7"/>
        <v>0</v>
      </c>
      <c r="P7" s="227">
        <v>12831.9</v>
      </c>
      <c r="Q7" s="471">
        <f t="shared" si="8"/>
        <v>0</v>
      </c>
      <c r="R7" s="7">
        <v>8663</v>
      </c>
      <c r="S7" s="471">
        <f t="shared" si="9"/>
        <v>0</v>
      </c>
      <c r="T7" s="7">
        <v>4483</v>
      </c>
      <c r="U7" s="14">
        <f t="shared" si="0"/>
        <v>0</v>
      </c>
      <c r="V7" s="171">
        <f t="shared" si="10"/>
        <v>0</v>
      </c>
      <c r="W7" s="840"/>
      <c r="X7" s="172">
        <f t="shared" si="11"/>
        <v>0</v>
      </c>
    </row>
    <row r="8" spans="1:24" s="157" customFormat="1" ht="12.75" customHeight="1" thickBot="1">
      <c r="A8" s="158">
        <v>6</v>
      </c>
      <c r="B8" s="464">
        <v>1853</v>
      </c>
      <c r="C8" s="472">
        <f t="shared" si="1"/>
        <v>0</v>
      </c>
      <c r="D8" s="474" t="s">
        <v>211</v>
      </c>
      <c r="E8" s="162">
        <f t="shared" si="2"/>
        <v>0</v>
      </c>
      <c r="F8" s="468">
        <v>225.3</v>
      </c>
      <c r="G8" s="44">
        <f t="shared" si="3"/>
        <v>0</v>
      </c>
      <c r="H8" s="171">
        <f t="shared" si="4"/>
        <v>0</v>
      </c>
      <c r="I8" s="840"/>
      <c r="J8" s="230">
        <v>17353.2</v>
      </c>
      <c r="K8" s="14">
        <f t="shared" si="5"/>
        <v>0</v>
      </c>
      <c r="L8" s="229">
        <v>18451</v>
      </c>
      <c r="M8" s="266">
        <f t="shared" si="6"/>
        <v>0</v>
      </c>
      <c r="N8" s="227">
        <v>9001.8</v>
      </c>
      <c r="O8" s="471">
        <f t="shared" si="7"/>
        <v>0</v>
      </c>
      <c r="P8" s="227">
        <v>12831.9</v>
      </c>
      <c r="Q8" s="471">
        <f t="shared" si="8"/>
        <v>0</v>
      </c>
      <c r="R8" s="5">
        <v>8664</v>
      </c>
      <c r="S8" s="471">
        <f t="shared" si="9"/>
        <v>60</v>
      </c>
      <c r="T8" s="7">
        <v>4483</v>
      </c>
      <c r="U8" s="14">
        <f t="shared" si="0"/>
        <v>0</v>
      </c>
      <c r="V8" s="171">
        <f t="shared" si="10"/>
        <v>0</v>
      </c>
      <c r="W8" s="840"/>
      <c r="X8" s="172">
        <f t="shared" si="11"/>
        <v>0</v>
      </c>
    </row>
    <row r="9" spans="1:24" s="157" customFormat="1" ht="12.75" customHeight="1" thickBot="1">
      <c r="A9" s="158">
        <v>7</v>
      </c>
      <c r="B9" s="464">
        <v>1853</v>
      </c>
      <c r="C9" s="472">
        <f t="shared" si="1"/>
        <v>0</v>
      </c>
      <c r="D9" s="474" t="s">
        <v>211</v>
      </c>
      <c r="E9" s="162">
        <f t="shared" si="2"/>
        <v>0</v>
      </c>
      <c r="F9" s="468">
        <v>225.3</v>
      </c>
      <c r="G9" s="44">
        <f t="shared" si="3"/>
        <v>0</v>
      </c>
      <c r="H9" s="171">
        <f t="shared" si="4"/>
        <v>0</v>
      </c>
      <c r="I9" s="840"/>
      <c r="J9" s="230">
        <v>17353.2</v>
      </c>
      <c r="K9" s="14">
        <f t="shared" si="5"/>
        <v>0</v>
      </c>
      <c r="L9" s="229">
        <v>18451</v>
      </c>
      <c r="M9" s="266">
        <f t="shared" si="6"/>
        <v>0</v>
      </c>
      <c r="N9" s="227">
        <v>9001.8</v>
      </c>
      <c r="O9" s="471">
        <f t="shared" si="7"/>
        <v>0</v>
      </c>
      <c r="P9" s="227">
        <v>12831.9</v>
      </c>
      <c r="Q9" s="471">
        <f t="shared" si="8"/>
        <v>0</v>
      </c>
      <c r="R9" s="5">
        <v>8664</v>
      </c>
      <c r="S9" s="471">
        <f t="shared" si="9"/>
        <v>0</v>
      </c>
      <c r="T9" s="7">
        <v>4483</v>
      </c>
      <c r="U9" s="14">
        <f t="shared" si="0"/>
        <v>0</v>
      </c>
      <c r="V9" s="171">
        <f t="shared" si="10"/>
        <v>0</v>
      </c>
      <c r="W9" s="840"/>
      <c r="X9" s="172">
        <f t="shared" si="11"/>
        <v>0</v>
      </c>
    </row>
    <row r="10" spans="1:24" s="157" customFormat="1" ht="12.75" customHeight="1" thickBot="1">
      <c r="A10" s="158">
        <v>8</v>
      </c>
      <c r="B10" s="464">
        <v>1853</v>
      </c>
      <c r="C10" s="472">
        <f t="shared" si="1"/>
        <v>0</v>
      </c>
      <c r="D10" s="474" t="s">
        <v>211</v>
      </c>
      <c r="E10" s="162">
        <f t="shared" si="2"/>
        <v>0</v>
      </c>
      <c r="F10" s="468">
        <v>225.3</v>
      </c>
      <c r="G10" s="44">
        <f t="shared" si="3"/>
        <v>0</v>
      </c>
      <c r="H10" s="171">
        <f t="shared" si="4"/>
        <v>0</v>
      </c>
      <c r="I10" s="840"/>
      <c r="J10" s="230">
        <v>17353.2</v>
      </c>
      <c r="K10" s="14">
        <f t="shared" si="5"/>
        <v>0</v>
      </c>
      <c r="L10" s="229">
        <v>18451</v>
      </c>
      <c r="M10" s="266">
        <f t="shared" si="6"/>
        <v>0</v>
      </c>
      <c r="N10" s="227">
        <v>9001.8</v>
      </c>
      <c r="O10" s="471">
        <f t="shared" si="7"/>
        <v>0</v>
      </c>
      <c r="P10" s="227">
        <v>12831.9</v>
      </c>
      <c r="Q10" s="471">
        <f t="shared" si="8"/>
        <v>0</v>
      </c>
      <c r="R10" s="5">
        <v>8664</v>
      </c>
      <c r="S10" s="471">
        <f t="shared" si="9"/>
        <v>0</v>
      </c>
      <c r="T10" s="7">
        <v>4483</v>
      </c>
      <c r="U10" s="14">
        <f t="shared" si="0"/>
        <v>0</v>
      </c>
      <c r="V10" s="171">
        <f t="shared" si="10"/>
        <v>0</v>
      </c>
      <c r="W10" s="840"/>
      <c r="X10" s="172">
        <f t="shared" si="11"/>
        <v>0</v>
      </c>
    </row>
    <row r="11" spans="1:24" s="157" customFormat="1" ht="12.75" customHeight="1" thickBot="1">
      <c r="A11" s="158">
        <v>9</v>
      </c>
      <c r="B11" s="464">
        <v>1853</v>
      </c>
      <c r="C11" s="472">
        <f t="shared" si="1"/>
        <v>0</v>
      </c>
      <c r="D11" s="474" t="s">
        <v>211</v>
      </c>
      <c r="E11" s="162">
        <f t="shared" si="2"/>
        <v>0</v>
      </c>
      <c r="F11" s="468">
        <v>225.3</v>
      </c>
      <c r="G11" s="44">
        <f t="shared" si="3"/>
        <v>0</v>
      </c>
      <c r="H11" s="171">
        <f t="shared" si="4"/>
        <v>0</v>
      </c>
      <c r="I11" s="840"/>
      <c r="J11" s="230">
        <v>17353.5</v>
      </c>
      <c r="K11" s="14">
        <f t="shared" si="5"/>
        <v>11.999999999970896</v>
      </c>
      <c r="L11" s="229">
        <v>18451</v>
      </c>
      <c r="M11" s="266">
        <f t="shared" si="6"/>
        <v>0</v>
      </c>
      <c r="N11" s="227">
        <v>9001.8</v>
      </c>
      <c r="O11" s="471">
        <f>(N11-N10)*40</f>
        <v>0</v>
      </c>
      <c r="P11" s="227">
        <v>12831.9</v>
      </c>
      <c r="Q11" s="471">
        <f t="shared" si="8"/>
        <v>0</v>
      </c>
      <c r="R11" s="5">
        <v>8664</v>
      </c>
      <c r="S11" s="471">
        <f t="shared" si="9"/>
        <v>0</v>
      </c>
      <c r="T11" s="7">
        <v>4483</v>
      </c>
      <c r="U11" s="14">
        <f t="shared" si="0"/>
        <v>0</v>
      </c>
      <c r="V11" s="171">
        <f t="shared" si="10"/>
        <v>11.999999999970896</v>
      </c>
      <c r="W11" s="840"/>
      <c r="X11" s="172">
        <f t="shared" si="11"/>
        <v>11.999999999970896</v>
      </c>
    </row>
    <row r="12" spans="1:24" s="157" customFormat="1" ht="12.75" customHeight="1" thickBot="1">
      <c r="A12" s="158">
        <v>10</v>
      </c>
      <c r="B12" s="464">
        <v>1853</v>
      </c>
      <c r="C12" s="472">
        <f t="shared" si="1"/>
        <v>0</v>
      </c>
      <c r="D12" s="474" t="s">
        <v>211</v>
      </c>
      <c r="E12" s="162">
        <f t="shared" si="2"/>
        <v>0</v>
      </c>
      <c r="F12" s="468">
        <v>225.3</v>
      </c>
      <c r="G12" s="44">
        <f t="shared" si="3"/>
        <v>0</v>
      </c>
      <c r="H12" s="171">
        <f t="shared" si="4"/>
        <v>0</v>
      </c>
      <c r="I12" s="840"/>
      <c r="J12" s="230">
        <v>17353.6</v>
      </c>
      <c r="K12" s="14">
        <f t="shared" si="5"/>
        <v>3.9999999999417923</v>
      </c>
      <c r="L12" s="229">
        <v>18451</v>
      </c>
      <c r="M12" s="266">
        <f t="shared" si="6"/>
        <v>0</v>
      </c>
      <c r="N12" s="227">
        <v>9001.8</v>
      </c>
      <c r="O12" s="471">
        <f>(N12-N11)*40</f>
        <v>0</v>
      </c>
      <c r="P12" s="227">
        <v>12831.9</v>
      </c>
      <c r="Q12" s="471">
        <f t="shared" si="8"/>
        <v>0</v>
      </c>
      <c r="R12" s="5">
        <v>8664</v>
      </c>
      <c r="S12" s="471">
        <f t="shared" si="9"/>
        <v>0</v>
      </c>
      <c r="T12" s="7">
        <v>4483</v>
      </c>
      <c r="U12" s="14">
        <f t="shared" si="0"/>
        <v>0</v>
      </c>
      <c r="V12" s="171">
        <f t="shared" si="10"/>
        <v>3.9999999999417923</v>
      </c>
      <c r="W12" s="840"/>
      <c r="X12" s="172">
        <f t="shared" si="11"/>
        <v>3.9999999999417923</v>
      </c>
    </row>
    <row r="13" spans="1:24" s="157" customFormat="1" ht="12.75" customHeight="1" thickBot="1">
      <c r="A13" s="158">
        <v>11</v>
      </c>
      <c r="B13" s="464">
        <v>1853</v>
      </c>
      <c r="C13" s="472">
        <f t="shared" si="1"/>
        <v>0</v>
      </c>
      <c r="D13" s="474" t="s">
        <v>211</v>
      </c>
      <c r="E13" s="162">
        <f t="shared" si="2"/>
        <v>0</v>
      </c>
      <c r="F13" s="468">
        <v>225.3</v>
      </c>
      <c r="G13" s="44">
        <f t="shared" si="3"/>
        <v>0</v>
      </c>
      <c r="H13" s="171">
        <f t="shared" si="4"/>
        <v>0</v>
      </c>
      <c r="I13" s="840"/>
      <c r="J13" s="230">
        <v>17353.7</v>
      </c>
      <c r="K13" s="14">
        <f t="shared" si="5"/>
        <v>4.0000000000873115</v>
      </c>
      <c r="L13" s="229">
        <v>18451</v>
      </c>
      <c r="M13" s="266">
        <f t="shared" si="6"/>
        <v>0</v>
      </c>
      <c r="N13" s="227">
        <v>9001.8</v>
      </c>
      <c r="O13" s="471">
        <f>(N13-N12)*40</f>
        <v>0</v>
      </c>
      <c r="P13" s="227">
        <v>12831.9</v>
      </c>
      <c r="Q13" s="471">
        <f t="shared" si="8"/>
        <v>0</v>
      </c>
      <c r="R13" s="5">
        <v>8664</v>
      </c>
      <c r="S13" s="471">
        <f t="shared" si="9"/>
        <v>0</v>
      </c>
      <c r="T13" s="7">
        <v>4483</v>
      </c>
      <c r="U13" s="14">
        <f t="shared" si="0"/>
        <v>0</v>
      </c>
      <c r="V13" s="171">
        <f t="shared" si="10"/>
        <v>4.0000000000873115</v>
      </c>
      <c r="W13" s="840"/>
      <c r="X13" s="172">
        <f t="shared" si="11"/>
        <v>4.0000000000873115</v>
      </c>
    </row>
    <row r="14" spans="1:24" s="157" customFormat="1" ht="12.75" customHeight="1" thickBot="1">
      <c r="A14" s="158">
        <v>12</v>
      </c>
      <c r="B14" s="464">
        <v>1853</v>
      </c>
      <c r="C14" s="472">
        <f t="shared" si="1"/>
        <v>0</v>
      </c>
      <c r="D14" s="474" t="s">
        <v>211</v>
      </c>
      <c r="E14" s="162">
        <f t="shared" si="2"/>
        <v>0</v>
      </c>
      <c r="F14" s="468">
        <v>225.3</v>
      </c>
      <c r="G14" s="44">
        <f t="shared" si="3"/>
        <v>0</v>
      </c>
      <c r="H14" s="171">
        <f t="shared" si="4"/>
        <v>0</v>
      </c>
      <c r="I14" s="840"/>
      <c r="J14" s="230">
        <v>17353.7</v>
      </c>
      <c r="K14" s="14">
        <f t="shared" si="5"/>
        <v>0</v>
      </c>
      <c r="L14" s="229">
        <v>18451</v>
      </c>
      <c r="M14" s="266">
        <f t="shared" si="6"/>
        <v>0</v>
      </c>
      <c r="N14" s="227">
        <v>9001.8</v>
      </c>
      <c r="O14" s="471">
        <f>(N14-N13)*40</f>
        <v>0</v>
      </c>
      <c r="P14" s="227">
        <v>12831.9</v>
      </c>
      <c r="Q14" s="471">
        <f t="shared" si="8"/>
        <v>0</v>
      </c>
      <c r="R14" s="5">
        <v>8664</v>
      </c>
      <c r="S14" s="471">
        <f t="shared" si="9"/>
        <v>0</v>
      </c>
      <c r="T14" s="7">
        <v>4483</v>
      </c>
      <c r="U14" s="14">
        <f t="shared" si="0"/>
        <v>0</v>
      </c>
      <c r="V14" s="171">
        <f t="shared" si="10"/>
        <v>0</v>
      </c>
      <c r="W14" s="840"/>
      <c r="X14" s="172">
        <f t="shared" si="11"/>
        <v>0</v>
      </c>
    </row>
    <row r="15" spans="1:24" s="157" customFormat="1" ht="12.75" customHeight="1" thickBot="1">
      <c r="A15" s="158">
        <v>13</v>
      </c>
      <c r="B15" s="464">
        <v>1853</v>
      </c>
      <c r="C15" s="472">
        <f t="shared" si="1"/>
        <v>0</v>
      </c>
      <c r="D15" s="474" t="s">
        <v>211</v>
      </c>
      <c r="E15" s="162">
        <f t="shared" si="2"/>
        <v>0</v>
      </c>
      <c r="F15" s="468">
        <v>225.3</v>
      </c>
      <c r="G15" s="44">
        <f t="shared" si="3"/>
        <v>0</v>
      </c>
      <c r="H15" s="171">
        <f t="shared" si="4"/>
        <v>0</v>
      </c>
      <c r="I15" s="840"/>
      <c r="J15" s="230">
        <v>17353.8</v>
      </c>
      <c r="K15" s="14">
        <f t="shared" si="5"/>
        <v>3.9999999999417923</v>
      </c>
      <c r="L15" s="229">
        <v>18451</v>
      </c>
      <c r="M15" s="266">
        <f t="shared" si="6"/>
        <v>0</v>
      </c>
      <c r="N15" s="227">
        <v>9001.8</v>
      </c>
      <c r="O15" s="471">
        <f t="shared" si="7"/>
        <v>0</v>
      </c>
      <c r="P15" s="227">
        <v>12831.9</v>
      </c>
      <c r="Q15" s="471">
        <f t="shared" si="8"/>
        <v>0</v>
      </c>
      <c r="R15" s="5">
        <v>8664</v>
      </c>
      <c r="S15" s="471">
        <f t="shared" si="9"/>
        <v>0</v>
      </c>
      <c r="T15" s="7">
        <v>4483</v>
      </c>
      <c r="U15" s="14">
        <f t="shared" si="0"/>
        <v>0</v>
      </c>
      <c r="V15" s="171">
        <f t="shared" si="10"/>
        <v>3.9999999999417923</v>
      </c>
      <c r="W15" s="840"/>
      <c r="X15" s="172">
        <f t="shared" si="11"/>
        <v>3.9999999999417923</v>
      </c>
    </row>
    <row r="16" spans="1:24" s="157" customFormat="1" ht="12.75" customHeight="1" thickBot="1">
      <c r="A16" s="158">
        <v>14</v>
      </c>
      <c r="B16" s="464">
        <v>1853</v>
      </c>
      <c r="C16" s="472">
        <f aca="true" t="shared" si="12" ref="C16:C28">(B16-B15)*1</f>
        <v>0</v>
      </c>
      <c r="D16" s="474" t="s">
        <v>211</v>
      </c>
      <c r="E16" s="162">
        <f t="shared" si="2"/>
        <v>0</v>
      </c>
      <c r="F16" s="468">
        <v>225.3</v>
      </c>
      <c r="G16" s="44">
        <f t="shared" si="3"/>
        <v>0</v>
      </c>
      <c r="H16" s="171">
        <f t="shared" si="4"/>
        <v>0</v>
      </c>
      <c r="I16" s="840"/>
      <c r="J16" s="230">
        <v>17354</v>
      </c>
      <c r="K16" s="14">
        <f t="shared" si="5"/>
        <v>8.000000000029104</v>
      </c>
      <c r="L16" s="229">
        <v>18451.4</v>
      </c>
      <c r="M16" s="266">
        <f t="shared" si="6"/>
        <v>16.000000000058208</v>
      </c>
      <c r="N16" s="227">
        <v>9001.8</v>
      </c>
      <c r="O16" s="471">
        <f t="shared" si="7"/>
        <v>0</v>
      </c>
      <c r="P16" s="227">
        <v>12831.9</v>
      </c>
      <c r="Q16" s="471">
        <f t="shared" si="8"/>
        <v>0</v>
      </c>
      <c r="R16" s="5">
        <v>8664.6</v>
      </c>
      <c r="S16" s="471">
        <f t="shared" si="9"/>
        <v>36.00000000002183</v>
      </c>
      <c r="T16" s="7">
        <v>4483</v>
      </c>
      <c r="U16" s="14">
        <f t="shared" si="0"/>
        <v>0</v>
      </c>
      <c r="V16" s="171">
        <f t="shared" si="10"/>
        <v>24.00000000008731</v>
      </c>
      <c r="W16" s="840"/>
      <c r="X16" s="172">
        <f t="shared" si="11"/>
        <v>24.00000000008731</v>
      </c>
    </row>
    <row r="17" spans="1:24" s="157" customFormat="1" ht="12.75" customHeight="1" thickBot="1">
      <c r="A17" s="158">
        <v>15</v>
      </c>
      <c r="B17" s="464">
        <v>1853</v>
      </c>
      <c r="C17" s="472">
        <f t="shared" si="12"/>
        <v>0</v>
      </c>
      <c r="D17" s="474" t="s">
        <v>211</v>
      </c>
      <c r="E17" s="162">
        <f t="shared" si="2"/>
        <v>0</v>
      </c>
      <c r="F17" s="468">
        <v>225.3</v>
      </c>
      <c r="G17" s="44">
        <f t="shared" si="3"/>
        <v>0</v>
      </c>
      <c r="H17" s="171">
        <f t="shared" si="4"/>
        <v>0</v>
      </c>
      <c r="I17" s="840"/>
      <c r="J17" s="230">
        <v>17354.2</v>
      </c>
      <c r="K17" s="14">
        <f t="shared" si="5"/>
        <v>8.000000000029104</v>
      </c>
      <c r="L17" s="229">
        <v>18451.4</v>
      </c>
      <c r="M17" s="266">
        <f t="shared" si="6"/>
        <v>0</v>
      </c>
      <c r="N17" s="227">
        <v>9001.8</v>
      </c>
      <c r="O17" s="471">
        <f t="shared" si="7"/>
        <v>0</v>
      </c>
      <c r="P17" s="227">
        <v>12831.9</v>
      </c>
      <c r="Q17" s="471">
        <f t="shared" si="8"/>
        <v>0</v>
      </c>
      <c r="R17" s="5">
        <v>8664.6</v>
      </c>
      <c r="S17" s="471">
        <f t="shared" si="9"/>
        <v>0</v>
      </c>
      <c r="T17" s="7">
        <v>4483</v>
      </c>
      <c r="U17" s="14">
        <f t="shared" si="0"/>
        <v>0</v>
      </c>
      <c r="V17" s="171">
        <f t="shared" si="10"/>
        <v>8.000000000029104</v>
      </c>
      <c r="W17" s="840"/>
      <c r="X17" s="172">
        <f t="shared" si="11"/>
        <v>8.000000000029104</v>
      </c>
    </row>
    <row r="18" spans="1:24" s="157" customFormat="1" ht="12.75" customHeight="1" thickBot="1">
      <c r="A18" s="158">
        <v>16</v>
      </c>
      <c r="B18" s="464">
        <v>1853</v>
      </c>
      <c r="C18" s="472">
        <f t="shared" si="12"/>
        <v>0</v>
      </c>
      <c r="D18" s="474" t="s">
        <v>211</v>
      </c>
      <c r="E18" s="162">
        <f t="shared" si="2"/>
        <v>0</v>
      </c>
      <c r="F18" s="468">
        <v>225.3</v>
      </c>
      <c r="G18" s="44">
        <f t="shared" si="3"/>
        <v>0</v>
      </c>
      <c r="H18" s="171">
        <f t="shared" si="4"/>
        <v>0</v>
      </c>
      <c r="I18" s="840"/>
      <c r="J18" s="230">
        <v>17354.3</v>
      </c>
      <c r="K18" s="14">
        <f t="shared" si="5"/>
        <v>3.9999999999417923</v>
      </c>
      <c r="L18" s="229">
        <v>18451.5</v>
      </c>
      <c r="M18" s="266">
        <f t="shared" si="6"/>
        <v>3.9999999999417923</v>
      </c>
      <c r="N18" s="227">
        <v>9001.8</v>
      </c>
      <c r="O18" s="471">
        <f t="shared" si="7"/>
        <v>0</v>
      </c>
      <c r="P18" s="227">
        <v>12831.9</v>
      </c>
      <c r="Q18" s="471">
        <f t="shared" si="8"/>
        <v>0</v>
      </c>
      <c r="R18" s="5">
        <v>8664.9</v>
      </c>
      <c r="S18" s="471">
        <f t="shared" si="9"/>
        <v>17.999999999956344</v>
      </c>
      <c r="T18" s="7">
        <v>4483</v>
      </c>
      <c r="U18" s="14">
        <f t="shared" si="0"/>
        <v>0</v>
      </c>
      <c r="V18" s="171">
        <f t="shared" si="10"/>
        <v>7.999999999883585</v>
      </c>
      <c r="W18" s="840"/>
      <c r="X18" s="172">
        <f t="shared" si="11"/>
        <v>7.999999999883585</v>
      </c>
    </row>
    <row r="19" spans="1:24" s="157" customFormat="1" ht="12.75" customHeight="1" thickBot="1">
      <c r="A19" s="158">
        <v>17</v>
      </c>
      <c r="B19" s="464">
        <v>1853</v>
      </c>
      <c r="C19" s="472">
        <f t="shared" si="12"/>
        <v>0</v>
      </c>
      <c r="D19" s="474" t="s">
        <v>211</v>
      </c>
      <c r="E19" s="162">
        <f t="shared" si="2"/>
        <v>0</v>
      </c>
      <c r="F19" s="468">
        <v>225.3</v>
      </c>
      <c r="G19" s="44">
        <f t="shared" si="3"/>
        <v>0</v>
      </c>
      <c r="H19" s="171">
        <f t="shared" si="4"/>
        <v>0</v>
      </c>
      <c r="I19" s="840"/>
      <c r="J19" s="230">
        <v>17354.4</v>
      </c>
      <c r="K19" s="14">
        <f t="shared" si="5"/>
        <v>4.0000000000873115</v>
      </c>
      <c r="L19" s="229">
        <v>18451.6</v>
      </c>
      <c r="M19" s="266">
        <f t="shared" si="6"/>
        <v>3.9999999999417923</v>
      </c>
      <c r="N19" s="227">
        <v>9001.8</v>
      </c>
      <c r="O19" s="471">
        <f t="shared" si="7"/>
        <v>0</v>
      </c>
      <c r="P19" s="227">
        <v>12831.9</v>
      </c>
      <c r="Q19" s="471">
        <f t="shared" si="8"/>
        <v>0</v>
      </c>
      <c r="R19" s="5">
        <v>8664.9</v>
      </c>
      <c r="S19" s="471">
        <f t="shared" si="9"/>
        <v>0</v>
      </c>
      <c r="T19" s="7">
        <v>4483</v>
      </c>
      <c r="U19" s="14">
        <f t="shared" si="0"/>
        <v>0</v>
      </c>
      <c r="V19" s="171">
        <f t="shared" si="10"/>
        <v>8.000000000029104</v>
      </c>
      <c r="W19" s="840"/>
      <c r="X19" s="172">
        <f t="shared" si="11"/>
        <v>8.000000000029104</v>
      </c>
    </row>
    <row r="20" spans="1:24" s="157" customFormat="1" ht="12.75" customHeight="1" thickBot="1">
      <c r="A20" s="158">
        <v>18</v>
      </c>
      <c r="B20" s="464">
        <v>1853</v>
      </c>
      <c r="C20" s="472">
        <f t="shared" si="12"/>
        <v>0</v>
      </c>
      <c r="D20" s="474" t="s">
        <v>211</v>
      </c>
      <c r="E20" s="162">
        <f t="shared" si="2"/>
        <v>0</v>
      </c>
      <c r="F20" s="468">
        <v>225.3</v>
      </c>
      <c r="G20" s="44">
        <f t="shared" si="3"/>
        <v>0</v>
      </c>
      <c r="H20" s="171">
        <f t="shared" si="4"/>
        <v>0</v>
      </c>
      <c r="I20" s="840"/>
      <c r="J20" s="230">
        <v>17354.4</v>
      </c>
      <c r="K20" s="14">
        <f t="shared" si="5"/>
        <v>0</v>
      </c>
      <c r="L20" s="229">
        <v>18451.6</v>
      </c>
      <c r="M20" s="266">
        <f t="shared" si="6"/>
        <v>0</v>
      </c>
      <c r="N20" s="227">
        <v>9001.8</v>
      </c>
      <c r="O20" s="471">
        <f t="shared" si="7"/>
        <v>0</v>
      </c>
      <c r="P20" s="227">
        <v>12831.9</v>
      </c>
      <c r="Q20" s="471">
        <f t="shared" si="8"/>
        <v>0</v>
      </c>
      <c r="R20" s="5">
        <v>8664.9</v>
      </c>
      <c r="S20" s="471">
        <f t="shared" si="9"/>
        <v>0</v>
      </c>
      <c r="T20" s="7">
        <v>4483</v>
      </c>
      <c r="U20" s="14">
        <f t="shared" si="0"/>
        <v>0</v>
      </c>
      <c r="V20" s="171">
        <f t="shared" si="10"/>
        <v>0</v>
      </c>
      <c r="W20" s="840"/>
      <c r="X20" s="172">
        <f t="shared" si="11"/>
        <v>0</v>
      </c>
    </row>
    <row r="21" spans="1:24" s="157" customFormat="1" ht="12.75" customHeight="1" thickBot="1">
      <c r="A21" s="158">
        <v>19</v>
      </c>
      <c r="B21" s="464">
        <v>1853</v>
      </c>
      <c r="C21" s="472">
        <f t="shared" si="12"/>
        <v>0</v>
      </c>
      <c r="D21" s="474" t="s">
        <v>211</v>
      </c>
      <c r="E21" s="162">
        <f t="shared" si="2"/>
        <v>0</v>
      </c>
      <c r="F21" s="468">
        <v>225.3</v>
      </c>
      <c r="G21" s="44">
        <f t="shared" si="3"/>
        <v>0</v>
      </c>
      <c r="H21" s="171">
        <f t="shared" si="4"/>
        <v>0</v>
      </c>
      <c r="I21" s="840"/>
      <c r="J21" s="230">
        <v>17354.4</v>
      </c>
      <c r="K21" s="14">
        <f t="shared" si="5"/>
        <v>0</v>
      </c>
      <c r="L21" s="229">
        <v>18451.6</v>
      </c>
      <c r="M21" s="266">
        <f t="shared" si="6"/>
        <v>0</v>
      </c>
      <c r="N21" s="227">
        <v>9001.8</v>
      </c>
      <c r="O21" s="471">
        <f t="shared" si="7"/>
        <v>0</v>
      </c>
      <c r="P21" s="227">
        <v>12831.9</v>
      </c>
      <c r="Q21" s="471">
        <f t="shared" si="8"/>
        <v>0</v>
      </c>
      <c r="R21" s="5">
        <v>8664.9</v>
      </c>
      <c r="S21" s="471">
        <f t="shared" si="9"/>
        <v>0</v>
      </c>
      <c r="T21" s="7">
        <v>4483</v>
      </c>
      <c r="U21" s="14">
        <f t="shared" si="0"/>
        <v>0</v>
      </c>
      <c r="V21" s="171">
        <f t="shared" si="10"/>
        <v>0</v>
      </c>
      <c r="W21" s="840"/>
      <c r="X21" s="172">
        <f t="shared" si="11"/>
        <v>0</v>
      </c>
    </row>
    <row r="22" spans="1:24" s="157" customFormat="1" ht="12.75" customHeight="1" thickBot="1">
      <c r="A22" s="158">
        <v>20</v>
      </c>
      <c r="B22" s="464">
        <v>1853</v>
      </c>
      <c r="C22" s="472">
        <f t="shared" si="12"/>
        <v>0</v>
      </c>
      <c r="D22" s="474" t="s">
        <v>211</v>
      </c>
      <c r="E22" s="162">
        <f t="shared" si="2"/>
        <v>0</v>
      </c>
      <c r="F22" s="468">
        <v>225.3</v>
      </c>
      <c r="G22" s="44">
        <f t="shared" si="3"/>
        <v>0</v>
      </c>
      <c r="H22" s="171">
        <f t="shared" si="4"/>
        <v>0</v>
      </c>
      <c r="I22" s="840"/>
      <c r="J22" s="230">
        <v>17354.4</v>
      </c>
      <c r="K22" s="14">
        <f t="shared" si="5"/>
        <v>0</v>
      </c>
      <c r="L22" s="229">
        <v>18451.6</v>
      </c>
      <c r="M22" s="266">
        <f t="shared" si="6"/>
        <v>0</v>
      </c>
      <c r="N22" s="227">
        <v>9001.8</v>
      </c>
      <c r="O22" s="471">
        <f t="shared" si="7"/>
        <v>0</v>
      </c>
      <c r="P22" s="227">
        <v>12831.9</v>
      </c>
      <c r="Q22" s="471">
        <f t="shared" si="8"/>
        <v>0</v>
      </c>
      <c r="R22" s="5">
        <v>8664.9</v>
      </c>
      <c r="S22" s="471">
        <f t="shared" si="9"/>
        <v>0</v>
      </c>
      <c r="T22" s="7">
        <v>4483</v>
      </c>
      <c r="U22" s="14">
        <f t="shared" si="0"/>
        <v>0</v>
      </c>
      <c r="V22" s="171">
        <f t="shared" si="10"/>
        <v>0</v>
      </c>
      <c r="W22" s="840"/>
      <c r="X22" s="172">
        <f t="shared" si="11"/>
        <v>0</v>
      </c>
    </row>
    <row r="23" spans="1:24" s="157" customFormat="1" ht="12.75" customHeight="1" thickBot="1">
      <c r="A23" s="158">
        <v>21</v>
      </c>
      <c r="B23" s="464">
        <v>1853</v>
      </c>
      <c r="C23" s="472">
        <f t="shared" si="12"/>
        <v>0</v>
      </c>
      <c r="D23" s="474" t="s">
        <v>211</v>
      </c>
      <c r="E23" s="162">
        <f t="shared" si="2"/>
        <v>0</v>
      </c>
      <c r="F23" s="468">
        <v>225.3</v>
      </c>
      <c r="G23" s="44">
        <f t="shared" si="3"/>
        <v>0</v>
      </c>
      <c r="H23" s="171">
        <f t="shared" si="4"/>
        <v>0</v>
      </c>
      <c r="I23" s="840"/>
      <c r="J23" s="230">
        <v>17354.4</v>
      </c>
      <c r="K23" s="14">
        <f t="shared" si="5"/>
        <v>0</v>
      </c>
      <c r="L23" s="229">
        <v>18451.6</v>
      </c>
      <c r="M23" s="266">
        <f t="shared" si="6"/>
        <v>0</v>
      </c>
      <c r="N23" s="227">
        <v>9001.8</v>
      </c>
      <c r="O23" s="471">
        <f t="shared" si="7"/>
        <v>0</v>
      </c>
      <c r="P23" s="227">
        <v>12831.9</v>
      </c>
      <c r="Q23" s="471">
        <f t="shared" si="8"/>
        <v>0</v>
      </c>
      <c r="R23" s="5">
        <v>8664.9</v>
      </c>
      <c r="S23" s="471">
        <f t="shared" si="9"/>
        <v>0</v>
      </c>
      <c r="T23" s="7">
        <v>4483</v>
      </c>
      <c r="U23" s="14">
        <f t="shared" si="0"/>
        <v>0</v>
      </c>
      <c r="V23" s="171">
        <f t="shared" si="10"/>
        <v>0</v>
      </c>
      <c r="W23" s="840"/>
      <c r="X23" s="172">
        <f t="shared" si="11"/>
        <v>0</v>
      </c>
    </row>
    <row r="24" spans="1:24" s="157" customFormat="1" ht="12.75" customHeight="1" thickBot="1">
      <c r="A24" s="158">
        <v>22</v>
      </c>
      <c r="B24" s="464">
        <v>1853</v>
      </c>
      <c r="C24" s="472">
        <f t="shared" si="12"/>
        <v>0</v>
      </c>
      <c r="D24" s="474" t="s">
        <v>211</v>
      </c>
      <c r="E24" s="162">
        <f t="shared" si="2"/>
        <v>0</v>
      </c>
      <c r="F24" s="468">
        <v>225.3</v>
      </c>
      <c r="G24" s="44">
        <f t="shared" si="3"/>
        <v>0</v>
      </c>
      <c r="H24" s="171">
        <f t="shared" si="4"/>
        <v>0</v>
      </c>
      <c r="I24" s="840"/>
      <c r="J24" s="230">
        <v>17354.4</v>
      </c>
      <c r="K24" s="14">
        <f t="shared" si="5"/>
        <v>0</v>
      </c>
      <c r="L24" s="229">
        <v>18451.6</v>
      </c>
      <c r="M24" s="266">
        <f t="shared" si="6"/>
        <v>0</v>
      </c>
      <c r="N24" s="227">
        <v>9001.8</v>
      </c>
      <c r="O24" s="471">
        <f t="shared" si="7"/>
        <v>0</v>
      </c>
      <c r="P24" s="227">
        <v>12831.9</v>
      </c>
      <c r="Q24" s="471">
        <f t="shared" si="8"/>
        <v>0</v>
      </c>
      <c r="R24" s="5">
        <v>8664.9</v>
      </c>
      <c r="S24" s="471">
        <f t="shared" si="9"/>
        <v>0</v>
      </c>
      <c r="T24" s="7">
        <v>4483</v>
      </c>
      <c r="U24" s="14">
        <f t="shared" si="0"/>
        <v>0</v>
      </c>
      <c r="V24" s="171">
        <f t="shared" si="10"/>
        <v>0</v>
      </c>
      <c r="W24" s="840"/>
      <c r="X24" s="172">
        <f t="shared" si="11"/>
        <v>0</v>
      </c>
    </row>
    <row r="25" spans="1:24" s="157" customFormat="1" ht="12.75" customHeight="1" thickBot="1">
      <c r="A25" s="158">
        <v>23</v>
      </c>
      <c r="B25" s="464">
        <v>1853</v>
      </c>
      <c r="C25" s="472">
        <f t="shared" si="12"/>
        <v>0</v>
      </c>
      <c r="D25" s="474" t="s">
        <v>211</v>
      </c>
      <c r="E25" s="162">
        <f t="shared" si="2"/>
        <v>0</v>
      </c>
      <c r="F25" s="468">
        <v>225.3</v>
      </c>
      <c r="G25" s="44">
        <f t="shared" si="3"/>
        <v>0</v>
      </c>
      <c r="H25" s="171">
        <f t="shared" si="4"/>
        <v>0</v>
      </c>
      <c r="I25" s="840"/>
      <c r="J25" s="230">
        <v>17354.4</v>
      </c>
      <c r="K25" s="14">
        <f t="shared" si="5"/>
        <v>0</v>
      </c>
      <c r="L25" s="229">
        <v>18451.6</v>
      </c>
      <c r="M25" s="266">
        <f t="shared" si="6"/>
        <v>0</v>
      </c>
      <c r="N25" s="227">
        <v>9001.8</v>
      </c>
      <c r="O25" s="471">
        <f t="shared" si="7"/>
        <v>0</v>
      </c>
      <c r="P25" s="227">
        <v>12831.9</v>
      </c>
      <c r="Q25" s="471">
        <f t="shared" si="8"/>
        <v>0</v>
      </c>
      <c r="R25" s="5">
        <v>8664.9</v>
      </c>
      <c r="S25" s="471">
        <f t="shared" si="9"/>
        <v>0</v>
      </c>
      <c r="T25" s="7">
        <v>4483</v>
      </c>
      <c r="U25" s="14">
        <f t="shared" si="0"/>
        <v>0</v>
      </c>
      <c r="V25" s="171">
        <f t="shared" si="10"/>
        <v>0</v>
      </c>
      <c r="W25" s="840"/>
      <c r="X25" s="172">
        <f t="shared" si="11"/>
        <v>0</v>
      </c>
    </row>
    <row r="26" spans="1:24" s="157" customFormat="1" ht="12.75" customHeight="1" thickBot="1">
      <c r="A26" s="158">
        <v>24</v>
      </c>
      <c r="B26" s="464">
        <v>1853</v>
      </c>
      <c r="C26" s="472">
        <f t="shared" si="12"/>
        <v>0</v>
      </c>
      <c r="D26" s="474" t="s">
        <v>211</v>
      </c>
      <c r="E26" s="162">
        <f t="shared" si="2"/>
        <v>0</v>
      </c>
      <c r="F26" s="468">
        <v>225.3</v>
      </c>
      <c r="G26" s="44">
        <f t="shared" si="3"/>
        <v>0</v>
      </c>
      <c r="H26" s="171">
        <f t="shared" si="4"/>
        <v>0</v>
      </c>
      <c r="I26" s="840"/>
      <c r="J26" s="230">
        <v>17354.4</v>
      </c>
      <c r="K26" s="14">
        <f t="shared" si="5"/>
        <v>0</v>
      </c>
      <c r="L26" s="229">
        <v>18451.6</v>
      </c>
      <c r="M26" s="266">
        <f t="shared" si="6"/>
        <v>0</v>
      </c>
      <c r="N26" s="227">
        <v>9001.8</v>
      </c>
      <c r="O26" s="471">
        <f t="shared" si="7"/>
        <v>0</v>
      </c>
      <c r="P26" s="227">
        <v>12831.9</v>
      </c>
      <c r="Q26" s="471">
        <f t="shared" si="8"/>
        <v>0</v>
      </c>
      <c r="R26" s="5">
        <v>8664.9</v>
      </c>
      <c r="S26" s="471">
        <f t="shared" si="9"/>
        <v>0</v>
      </c>
      <c r="T26" s="7">
        <v>4483</v>
      </c>
      <c r="U26" s="14">
        <f t="shared" si="0"/>
        <v>0</v>
      </c>
      <c r="V26" s="171">
        <f t="shared" si="10"/>
        <v>0</v>
      </c>
      <c r="W26" s="840"/>
      <c r="X26" s="172">
        <f t="shared" si="11"/>
        <v>0</v>
      </c>
    </row>
    <row r="27" spans="1:24" s="157" customFormat="1" ht="12.75" customHeight="1" thickBot="1">
      <c r="A27" s="158">
        <v>1</v>
      </c>
      <c r="B27" s="464">
        <v>1853</v>
      </c>
      <c r="C27" s="472">
        <f t="shared" si="12"/>
        <v>0</v>
      </c>
      <c r="D27" s="474" t="s">
        <v>211</v>
      </c>
      <c r="E27" s="162">
        <f t="shared" si="2"/>
        <v>0</v>
      </c>
      <c r="F27" s="468">
        <v>225.3</v>
      </c>
      <c r="G27" s="44">
        <f t="shared" si="3"/>
        <v>0</v>
      </c>
      <c r="H27" s="171">
        <f t="shared" si="4"/>
        <v>0</v>
      </c>
      <c r="I27" s="840"/>
      <c r="J27" s="230">
        <v>17354.4</v>
      </c>
      <c r="K27" s="14">
        <f t="shared" si="5"/>
        <v>0</v>
      </c>
      <c r="L27" s="229">
        <v>18451.6</v>
      </c>
      <c r="M27" s="266">
        <f t="shared" si="6"/>
        <v>0</v>
      </c>
      <c r="N27" s="227">
        <v>9001.8</v>
      </c>
      <c r="O27" s="471">
        <f t="shared" si="7"/>
        <v>0</v>
      </c>
      <c r="P27" s="227">
        <v>12831.9</v>
      </c>
      <c r="Q27" s="471">
        <f t="shared" si="8"/>
        <v>0</v>
      </c>
      <c r="R27" s="5">
        <v>8664.9</v>
      </c>
      <c r="S27" s="471">
        <f t="shared" si="9"/>
        <v>0</v>
      </c>
      <c r="T27" s="7">
        <v>4483</v>
      </c>
      <c r="U27" s="14">
        <f t="shared" si="0"/>
        <v>0</v>
      </c>
      <c r="V27" s="171">
        <f t="shared" si="10"/>
        <v>0</v>
      </c>
      <c r="W27" s="840"/>
      <c r="X27" s="172">
        <f t="shared" si="11"/>
        <v>0</v>
      </c>
    </row>
    <row r="28" spans="1:24" s="157" customFormat="1" ht="13.5" customHeight="1" thickBot="1">
      <c r="A28" s="159">
        <v>2</v>
      </c>
      <c r="B28" s="464">
        <v>1853</v>
      </c>
      <c r="C28" s="472">
        <f t="shared" si="12"/>
        <v>0</v>
      </c>
      <c r="D28" s="474" t="s">
        <v>211</v>
      </c>
      <c r="E28" s="162">
        <f t="shared" si="2"/>
        <v>0</v>
      </c>
      <c r="F28" s="468">
        <v>225.3</v>
      </c>
      <c r="G28" s="456">
        <f t="shared" si="3"/>
        <v>0</v>
      </c>
      <c r="H28" s="171">
        <f t="shared" si="4"/>
        <v>0</v>
      </c>
      <c r="I28" s="840"/>
      <c r="J28" s="458">
        <v>17354.4</v>
      </c>
      <c r="K28" s="14">
        <f t="shared" si="5"/>
        <v>0</v>
      </c>
      <c r="L28" s="229">
        <v>18451.6</v>
      </c>
      <c r="M28" s="266">
        <f t="shared" si="6"/>
        <v>0</v>
      </c>
      <c r="N28" s="227">
        <v>9001.8</v>
      </c>
      <c r="O28" s="471">
        <f t="shared" si="7"/>
        <v>0</v>
      </c>
      <c r="P28" s="227">
        <v>12831.9</v>
      </c>
      <c r="Q28" s="471">
        <f t="shared" si="8"/>
        <v>0</v>
      </c>
      <c r="R28" s="5">
        <v>8664.9</v>
      </c>
      <c r="S28" s="471">
        <f t="shared" si="9"/>
        <v>0</v>
      </c>
      <c r="T28" s="7">
        <v>4483</v>
      </c>
      <c r="U28" s="470">
        <f t="shared" si="0"/>
        <v>0</v>
      </c>
      <c r="V28" s="171">
        <f t="shared" si="10"/>
        <v>0</v>
      </c>
      <c r="W28" s="840"/>
      <c r="X28" s="172">
        <f t="shared" si="11"/>
        <v>0</v>
      </c>
    </row>
    <row r="29" spans="1:24" ht="16.5" thickBot="1">
      <c r="A29" s="707" t="s">
        <v>85</v>
      </c>
      <c r="B29" s="792"/>
      <c r="C29" s="22">
        <f>SUM(C5:C28)</f>
        <v>0</v>
      </c>
      <c r="D29" s="21"/>
      <c r="E29" s="22">
        <f>SUM(E5:E28)</f>
        <v>0</v>
      </c>
      <c r="F29" s="335"/>
      <c r="G29" s="455">
        <f>SUM(G5:G28)</f>
        <v>0</v>
      </c>
      <c r="H29" s="22">
        <f>SUM(H5:H28)</f>
        <v>0</v>
      </c>
      <c r="I29" s="840"/>
      <c r="J29" s="460"/>
      <c r="K29" s="71">
        <f>SUM(K5:K28)</f>
        <v>48.000000000029104</v>
      </c>
      <c r="L29" s="10"/>
      <c r="M29" s="22">
        <f>SUM(M5:M28)</f>
        <v>23.999999999941792</v>
      </c>
      <c r="N29" s="461"/>
      <c r="O29" s="22">
        <f>SUM(O5:O28)</f>
        <v>0</v>
      </c>
      <c r="P29" s="461"/>
      <c r="Q29" s="22">
        <f>SUM(Q5:Q28)</f>
        <v>0</v>
      </c>
      <c r="R29" s="120"/>
      <c r="S29" s="22">
        <f>SUM(S5:S28)</f>
        <v>113.99999999997817</v>
      </c>
      <c r="T29" s="461"/>
      <c r="U29" s="20">
        <f>SUM(U5:U28)</f>
        <v>0</v>
      </c>
      <c r="V29" s="79">
        <f>SUM(V5:V28)</f>
        <v>71.9999999999709</v>
      </c>
      <c r="W29" s="840"/>
      <c r="X29" s="22">
        <f>SUM(X5:X28)</f>
        <v>71.9999999999709</v>
      </c>
    </row>
    <row r="30" spans="1:24" ht="16.5" thickBot="1">
      <c r="A30" s="707" t="s">
        <v>80</v>
      </c>
      <c r="B30" s="709"/>
      <c r="C30" s="20">
        <f>MAX(C5:C28)</f>
        <v>0</v>
      </c>
      <c r="D30" s="21"/>
      <c r="E30" s="20">
        <f>MAX(E5:E28)</f>
        <v>0</v>
      </c>
      <c r="F30" s="21"/>
      <c r="G30" s="20">
        <f>MAX(G5:G28)</f>
        <v>0</v>
      </c>
      <c r="H30" s="22"/>
      <c r="I30" s="840"/>
      <c r="J30" s="183"/>
      <c r="K30" s="66">
        <f>MAX(K5:K28)</f>
        <v>11.999999999970896</v>
      </c>
      <c r="L30" s="116"/>
      <c r="M30" s="20">
        <f>MAX(M5:M28)</f>
        <v>16.000000000058208</v>
      </c>
      <c r="N30" s="116"/>
      <c r="O30" s="20">
        <f>MAX(O5:O28)</f>
        <v>0</v>
      </c>
      <c r="P30" s="116"/>
      <c r="Q30" s="20">
        <f>MAX(Q5:Q28)</f>
        <v>0</v>
      </c>
      <c r="R30" s="218"/>
      <c r="S30" s="20">
        <f>MAX(S5:S28)</f>
        <v>60</v>
      </c>
      <c r="T30" s="116"/>
      <c r="U30" s="20">
        <f>MAX(U5:U28)</f>
        <v>0</v>
      </c>
      <c r="V30" s="79">
        <f>MAX(V5:V28)</f>
        <v>24.00000000008731</v>
      </c>
      <c r="W30" s="840"/>
      <c r="X30" s="20">
        <f>MAX(X5:X28)</f>
        <v>24.00000000008731</v>
      </c>
    </row>
    <row r="31" spans="1:24" ht="16.5" thickBot="1">
      <c r="A31" s="707" t="s">
        <v>81</v>
      </c>
      <c r="B31" s="709"/>
      <c r="C31" s="20" t="e">
        <f>C29/24/C30</f>
        <v>#DIV/0!</v>
      </c>
      <c r="D31" s="21"/>
      <c r="E31" s="20" t="e">
        <f>E29/24/E30</f>
        <v>#DIV/0!</v>
      </c>
      <c r="F31" s="21"/>
      <c r="G31" s="20" t="e">
        <f>G29/24/G30</f>
        <v>#DIV/0!</v>
      </c>
      <c r="H31" s="22"/>
      <c r="I31" s="840"/>
      <c r="J31" s="184"/>
      <c r="K31" s="66">
        <f>K29/24/K30</f>
        <v>0.16666666666717195</v>
      </c>
      <c r="L31" s="117"/>
      <c r="M31" s="20">
        <f>M29/24/M30</f>
        <v>0.062499999999621046</v>
      </c>
      <c r="N31" s="117"/>
      <c r="O31" s="20" t="e">
        <f>O29/24/O30</f>
        <v>#DIV/0!</v>
      </c>
      <c r="P31" s="117"/>
      <c r="Q31" s="20" t="e">
        <f>Q29/24/Q30</f>
        <v>#DIV/0!</v>
      </c>
      <c r="R31" s="120"/>
      <c r="S31" s="20">
        <f>S29/24/S30</f>
        <v>0.07916666666665151</v>
      </c>
      <c r="T31" s="117"/>
      <c r="U31" s="20"/>
      <c r="V31" s="79">
        <f>V29/24/V30</f>
        <v>0.12499999999949472</v>
      </c>
      <c r="W31" s="840"/>
      <c r="X31" s="20">
        <f>X29/24/X30</f>
        <v>0.12499999999949472</v>
      </c>
    </row>
    <row r="33" spans="2:5" ht="12.75">
      <c r="B33" s="673"/>
      <c r="C33" s="673"/>
      <c r="D33" s="673"/>
      <c r="E33" s="673"/>
    </row>
    <row r="34" spans="2:5" s="18" customFormat="1" ht="12.75">
      <c r="B34" s="23"/>
      <c r="C34" s="23"/>
      <c r="D34" s="23"/>
      <c r="E34" s="23"/>
    </row>
    <row r="35" spans="2:5" ht="12.75">
      <c r="B35" s="24"/>
      <c r="C35" s="26"/>
      <c r="D35" s="24"/>
      <c r="E35" s="26"/>
    </row>
    <row r="36" spans="2:5" ht="12.75">
      <c r="B36" s="24"/>
      <c r="C36" s="26"/>
      <c r="D36" s="24"/>
      <c r="E36" s="26"/>
    </row>
    <row r="37" spans="2:5" ht="12.75">
      <c r="B37" s="24"/>
      <c r="C37" s="26"/>
      <c r="D37" s="24"/>
      <c r="E37" s="26"/>
    </row>
    <row r="38" spans="2:5" ht="12.75">
      <c r="B38" s="24"/>
      <c r="C38" s="26"/>
      <c r="D38" s="24"/>
      <c r="E38" s="26"/>
    </row>
    <row r="39" spans="2:5" ht="12.75">
      <c r="B39" s="24"/>
      <c r="C39" s="26"/>
      <c r="D39" s="24"/>
      <c r="E39" s="26"/>
    </row>
    <row r="40" spans="2:5" ht="12.75">
      <c r="B40" s="24"/>
      <c r="C40" s="26"/>
      <c r="D40" s="24"/>
      <c r="E40" s="26"/>
    </row>
    <row r="41" spans="2:5" ht="12.75">
      <c r="B41" s="24"/>
      <c r="C41" s="26"/>
      <c r="D41" s="24"/>
      <c r="E41" s="26"/>
    </row>
    <row r="42" spans="2:5" ht="12.75">
      <c r="B42" s="24"/>
      <c r="C42" s="26"/>
      <c r="D42" s="24"/>
      <c r="E42" s="26"/>
    </row>
    <row r="43" spans="2:5" ht="12.75">
      <c r="B43" s="24"/>
      <c r="C43" s="26"/>
      <c r="D43" s="24"/>
      <c r="E43" s="26"/>
    </row>
    <row r="44" spans="2:5" ht="12.75">
      <c r="B44" s="24"/>
      <c r="C44" s="26"/>
      <c r="D44" s="24"/>
      <c r="E44" s="26"/>
    </row>
    <row r="45" spans="2:5" ht="12.75">
      <c r="B45" s="24"/>
      <c r="C45" s="26"/>
      <c r="D45" s="24"/>
      <c r="E45" s="26"/>
    </row>
    <row r="46" spans="2:5" ht="12.75">
      <c r="B46" s="24"/>
      <c r="C46" s="26"/>
      <c r="D46" s="24"/>
      <c r="E46" s="26"/>
    </row>
    <row r="47" spans="2:5" ht="12.75">
      <c r="B47" s="24"/>
      <c r="C47" s="26"/>
      <c r="D47" s="24"/>
      <c r="E47" s="26"/>
    </row>
    <row r="48" spans="2:5" ht="12.75">
      <c r="B48" s="24"/>
      <c r="C48" s="26"/>
      <c r="D48" s="24"/>
      <c r="E48" s="26"/>
    </row>
    <row r="49" spans="2:5" ht="12.75">
      <c r="B49" s="24"/>
      <c r="C49" s="26"/>
      <c r="D49" s="24"/>
      <c r="E49" s="26"/>
    </row>
    <row r="50" spans="2:5" ht="12.75">
      <c r="B50" s="24"/>
      <c r="C50" s="26"/>
      <c r="D50" s="24"/>
      <c r="E50" s="26"/>
    </row>
    <row r="51" spans="2:5" ht="12.75">
      <c r="B51" s="24"/>
      <c r="C51" s="26"/>
      <c r="D51" s="24"/>
      <c r="E51" s="26"/>
    </row>
    <row r="52" spans="2:5" ht="12.75">
      <c r="B52" s="24"/>
      <c r="C52" s="26"/>
      <c r="D52" s="24"/>
      <c r="E52" s="26"/>
    </row>
    <row r="53" spans="2:5" ht="12.75">
      <c r="B53" s="24"/>
      <c r="C53" s="26"/>
      <c r="D53" s="24"/>
      <c r="E53" s="26"/>
    </row>
    <row r="54" spans="2:5" ht="12.75">
      <c r="B54" s="24"/>
      <c r="C54" s="26"/>
      <c r="D54" s="24"/>
      <c r="E54" s="26"/>
    </row>
    <row r="55" spans="2:5" ht="12.75">
      <c r="B55" s="24"/>
      <c r="C55" s="26"/>
      <c r="D55" s="24"/>
      <c r="E55" s="26"/>
    </row>
    <row r="56" spans="2:5" ht="12.75">
      <c r="B56" s="24"/>
      <c r="C56" s="26"/>
      <c r="D56" s="24"/>
      <c r="E56" s="26"/>
    </row>
  </sheetData>
  <sheetProtection/>
  <mergeCells count="23">
    <mergeCell ref="H1:H3"/>
    <mergeCell ref="F1:G1"/>
    <mergeCell ref="F2:G2"/>
    <mergeCell ref="J1:U1"/>
    <mergeCell ref="I1:I31"/>
    <mergeCell ref="R2:S2"/>
    <mergeCell ref="J2:K2"/>
    <mergeCell ref="B33:C33"/>
    <mergeCell ref="D33:E33"/>
    <mergeCell ref="A29:B29"/>
    <mergeCell ref="A30:B30"/>
    <mergeCell ref="A31:B31"/>
    <mergeCell ref="B2:C2"/>
    <mergeCell ref="D2:E2"/>
    <mergeCell ref="A1:A3"/>
    <mergeCell ref="B1:E1"/>
    <mergeCell ref="X1:X3"/>
    <mergeCell ref="W1:W31"/>
    <mergeCell ref="L2:M2"/>
    <mergeCell ref="N2:O2"/>
    <mergeCell ref="P2:Q2"/>
    <mergeCell ref="T2:U2"/>
    <mergeCell ref="V1:V3"/>
  </mergeCells>
  <printOptions/>
  <pageMargins left="0.75" right="0.75" top="1" bottom="1" header="0.5" footer="0.5"/>
  <pageSetup horizontalDpi="600" verticalDpi="600" orientation="landscape" paperSize="9" scale="76" r:id="rId1"/>
  <colBreaks count="1" manualBreakCount="1">
    <brk id="9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CX290"/>
  <sheetViews>
    <sheetView view="pageBreakPreview" zoomScale="85" zoomScaleSheetLayoutView="85" zoomScalePageLayoutView="0" workbookViewId="0" topLeftCell="A1">
      <pane xSplit="1" topLeftCell="B1" activePane="topRight" state="frozen"/>
      <selection pane="topLeft" activeCell="U23" sqref="U23"/>
      <selection pane="topRight" activeCell="U23" sqref="U23"/>
    </sheetView>
  </sheetViews>
  <sheetFormatPr defaultColWidth="9.140625" defaultRowHeight="12.75"/>
  <cols>
    <col min="1" max="1" width="21.28125" style="0" customWidth="1"/>
    <col min="2" max="14" width="9.421875" style="0" customWidth="1"/>
    <col min="15" max="15" width="9.57421875" style="115" customWidth="1"/>
    <col min="16" max="16" width="10.421875" style="115" customWidth="1"/>
    <col min="17" max="17" width="9.57421875" style="115" customWidth="1"/>
    <col min="18" max="18" width="10.421875" style="115" customWidth="1"/>
    <col min="19" max="19" width="9.8515625" style="0" customWidth="1"/>
    <col min="20" max="20" width="10.00390625" style="0" customWidth="1"/>
    <col min="21" max="21" width="9.7109375" style="0" customWidth="1"/>
    <col min="23" max="23" width="10.7109375" style="0" customWidth="1"/>
    <col min="25" max="25" width="1.7109375" style="0" customWidth="1"/>
    <col min="26" max="27" width="10.00390625" style="0" customWidth="1"/>
    <col min="28" max="28" width="12.57421875" style="0" customWidth="1"/>
    <col min="29" max="29" width="10.28125" style="0" customWidth="1"/>
    <col min="30" max="30" width="12.57421875" style="0" customWidth="1"/>
    <col min="31" max="31" width="10.28125" style="0" customWidth="1"/>
    <col min="32" max="35" width="11.8515625" style="0" customWidth="1"/>
    <col min="36" max="36" width="12.57421875" style="0" customWidth="1"/>
    <col min="37" max="37" width="10.57421875" style="0" customWidth="1"/>
    <col min="38" max="38" width="11.28125" style="0" customWidth="1"/>
    <col min="39" max="39" width="10.7109375" style="0" customWidth="1"/>
    <col min="40" max="40" width="12.28125" style="0" customWidth="1"/>
    <col min="41" max="41" width="10.140625" style="0" customWidth="1"/>
    <col min="42" max="42" width="12.00390625" style="0" customWidth="1"/>
    <col min="43" max="45" width="11.00390625" style="0" customWidth="1"/>
    <col min="46" max="46" width="2.421875" style="0" customWidth="1"/>
    <col min="47" max="52" width="11.8515625" style="0" customWidth="1"/>
    <col min="53" max="64" width="10.7109375" style="0" customWidth="1"/>
    <col min="65" max="65" width="8.00390625" style="0" customWidth="1"/>
    <col min="66" max="66" width="9.140625" style="2" customWidth="1"/>
    <col min="68" max="68" width="10.00390625" style="0" customWidth="1"/>
    <col min="70" max="70" width="10.57421875" style="0" customWidth="1"/>
    <col min="72" max="72" width="10.140625" style="0" customWidth="1"/>
    <col min="74" max="74" width="10.28125" style="0" customWidth="1"/>
    <col min="75" max="75" width="2.8515625" style="0" customWidth="1"/>
    <col min="76" max="76" width="8.140625" style="0" customWidth="1"/>
    <col min="77" max="77" width="10.140625" style="0" customWidth="1"/>
    <col min="78" max="78" width="12.140625" style="0" customWidth="1"/>
    <col min="79" max="79" width="10.421875" style="0" customWidth="1"/>
    <col min="80" max="82" width="12.00390625" style="0" customWidth="1"/>
    <col min="83" max="84" width="11.28125" style="115" customWidth="1"/>
    <col min="85" max="85" width="12.00390625" style="0" customWidth="1"/>
    <col min="86" max="88" width="11.00390625" style="0" customWidth="1"/>
    <col min="89" max="89" width="11.421875" style="0" customWidth="1"/>
    <col min="90" max="90" width="10.421875" style="0" customWidth="1"/>
    <col min="91" max="91" width="11.421875" style="0" customWidth="1"/>
    <col min="92" max="92" width="10.421875" style="0" customWidth="1"/>
    <col min="93" max="93" width="11.421875" style="0" customWidth="1"/>
    <col min="94" max="94" width="10.421875" style="0" customWidth="1"/>
    <col min="95" max="96" width="11.00390625" style="0" customWidth="1"/>
    <col min="97" max="98" width="11.00390625" style="428" customWidth="1"/>
    <col min="99" max="99" width="11.421875" style="428" customWidth="1"/>
    <col min="100" max="100" width="10.421875" style="428" customWidth="1"/>
    <col min="101" max="102" width="11.00390625" style="428" customWidth="1"/>
  </cols>
  <sheetData>
    <row r="1" spans="19:66" ht="15">
      <c r="S1" s="295"/>
      <c r="T1" s="295"/>
      <c r="U1" s="295"/>
      <c r="V1" s="295"/>
      <c r="W1" s="295"/>
      <c r="X1" s="295"/>
      <c r="AF1" s="295"/>
      <c r="AG1" s="295"/>
      <c r="AH1" s="295"/>
      <c r="AI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N1" s="222"/>
    </row>
    <row r="2" ht="15">
      <c r="BN2" s="222"/>
    </row>
    <row r="3" spans="11:66" ht="15">
      <c r="K3" s="55"/>
      <c r="AS3" s="55"/>
      <c r="BN3" s="223"/>
    </row>
    <row r="4" spans="46:66" ht="9" customHeight="1">
      <c r="AT4" s="2"/>
      <c r="BN4" s="223"/>
    </row>
    <row r="5" spans="1:102" s="18" customFormat="1" ht="22.5" customHeight="1" thickBot="1">
      <c r="A5" s="150"/>
      <c r="O5" s="246"/>
      <c r="P5" s="246"/>
      <c r="Q5" s="246"/>
      <c r="R5" s="246"/>
      <c r="AF5" s="150"/>
      <c r="AG5" s="150"/>
      <c r="AH5" s="150"/>
      <c r="AI5" s="150"/>
      <c r="AT5" s="100"/>
      <c r="AU5" s="150"/>
      <c r="AV5" s="150"/>
      <c r="AW5" s="150"/>
      <c r="AX5" s="150"/>
      <c r="AY5" s="150"/>
      <c r="AZ5" s="150"/>
      <c r="BN5" s="2"/>
      <c r="CE5" s="246"/>
      <c r="CF5" s="246"/>
      <c r="CS5" s="429"/>
      <c r="CT5" s="429"/>
      <c r="CU5" s="429"/>
      <c r="CV5" s="429"/>
      <c r="CW5" s="429"/>
      <c r="CX5" s="429"/>
    </row>
    <row r="6" spans="1:102" s="18" customFormat="1" ht="19.5" customHeight="1" thickBot="1">
      <c r="A6" s="693" t="s">
        <v>22</v>
      </c>
      <c r="B6" s="859" t="s">
        <v>164</v>
      </c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1"/>
      <c r="N6" s="293"/>
      <c r="O6" s="717" t="s">
        <v>0</v>
      </c>
      <c r="P6" s="718"/>
      <c r="Q6" s="718"/>
      <c r="R6" s="718"/>
      <c r="S6" s="718"/>
      <c r="T6" s="718"/>
      <c r="U6" s="718"/>
      <c r="V6" s="718"/>
      <c r="W6" s="718"/>
      <c r="X6" s="719"/>
      <c r="Y6" s="52"/>
      <c r="Z6" s="852" t="s">
        <v>92</v>
      </c>
      <c r="AA6" s="853"/>
      <c r="AB6" s="853"/>
      <c r="AC6" s="853"/>
      <c r="AD6" s="853"/>
      <c r="AE6" s="853"/>
      <c r="AF6" s="853"/>
      <c r="AG6" s="853"/>
      <c r="AH6" s="853"/>
      <c r="AI6" s="853"/>
      <c r="AJ6" s="853"/>
      <c r="AK6" s="853"/>
      <c r="AL6" s="853"/>
      <c r="AM6" s="853"/>
      <c r="AN6" s="853"/>
      <c r="AO6" s="853"/>
      <c r="AP6" s="853"/>
      <c r="AQ6" s="853"/>
      <c r="AR6" s="853"/>
      <c r="AS6" s="853"/>
      <c r="AT6" s="281"/>
      <c r="AU6" s="812" t="s">
        <v>93</v>
      </c>
      <c r="AV6" s="857"/>
      <c r="AW6" s="857"/>
      <c r="AX6" s="857"/>
      <c r="AY6" s="857"/>
      <c r="AZ6" s="857"/>
      <c r="BA6" s="857"/>
      <c r="BB6" s="857"/>
      <c r="BC6" s="857"/>
      <c r="BD6" s="857"/>
      <c r="BE6" s="857"/>
      <c r="BF6" s="857"/>
      <c r="BG6" s="857"/>
      <c r="BH6" s="857"/>
      <c r="BI6" s="857"/>
      <c r="BJ6" s="857"/>
      <c r="BK6" s="857"/>
      <c r="BL6" s="857"/>
      <c r="BM6" s="52"/>
      <c r="BN6" s="224" t="s">
        <v>94</v>
      </c>
      <c r="CE6" s="246"/>
      <c r="CF6" s="246"/>
      <c r="CS6" s="429"/>
      <c r="CT6" s="429"/>
      <c r="CU6" s="429"/>
      <c r="CV6" s="429"/>
      <c r="CW6" s="429"/>
      <c r="CX6" s="429"/>
    </row>
    <row r="7" spans="1:102" s="271" customFormat="1" ht="38.25" customHeight="1" thickBot="1">
      <c r="A7" s="694"/>
      <c r="B7" s="748" t="s">
        <v>152</v>
      </c>
      <c r="C7" s="749"/>
      <c r="D7" s="748" t="s">
        <v>153</v>
      </c>
      <c r="E7" s="749"/>
      <c r="F7" s="748" t="s">
        <v>154</v>
      </c>
      <c r="G7" s="749"/>
      <c r="H7" s="748" t="s">
        <v>155</v>
      </c>
      <c r="I7" s="749"/>
      <c r="J7" s="748" t="s">
        <v>156</v>
      </c>
      <c r="K7" s="749"/>
      <c r="L7" s="748" t="s">
        <v>157</v>
      </c>
      <c r="M7" s="749"/>
      <c r="N7" s="106"/>
      <c r="O7" s="862" t="s">
        <v>119</v>
      </c>
      <c r="P7" s="863"/>
      <c r="Q7" s="862" t="s">
        <v>119</v>
      </c>
      <c r="R7" s="863"/>
      <c r="S7" s="864" t="s">
        <v>165</v>
      </c>
      <c r="T7" s="865"/>
      <c r="U7" s="864" t="s">
        <v>166</v>
      </c>
      <c r="V7" s="865"/>
      <c r="W7" s="864" t="s">
        <v>167</v>
      </c>
      <c r="X7" s="865"/>
      <c r="Y7" s="270"/>
      <c r="Z7" s="866" t="s">
        <v>95</v>
      </c>
      <c r="AA7" s="867"/>
      <c r="AB7" s="732" t="s">
        <v>96</v>
      </c>
      <c r="AC7" s="733"/>
      <c r="AD7" s="732" t="s">
        <v>96</v>
      </c>
      <c r="AE7" s="733"/>
      <c r="AF7" s="732" t="s">
        <v>127</v>
      </c>
      <c r="AG7" s="858"/>
      <c r="AH7" s="858"/>
      <c r="AI7" s="733"/>
      <c r="AJ7" s="748" t="s">
        <v>192</v>
      </c>
      <c r="AK7" s="854"/>
      <c r="AL7" s="855" t="s">
        <v>194</v>
      </c>
      <c r="AM7" s="854"/>
      <c r="AN7" s="755" t="s">
        <v>195</v>
      </c>
      <c r="AO7" s="755"/>
      <c r="AP7" s="856" t="s">
        <v>196</v>
      </c>
      <c r="AQ7" s="854"/>
      <c r="AR7" s="755" t="s">
        <v>197</v>
      </c>
      <c r="AS7" s="755"/>
      <c r="AT7" s="282"/>
      <c r="AU7" s="868" t="s">
        <v>186</v>
      </c>
      <c r="AV7" s="869"/>
      <c r="AW7" s="868" t="s">
        <v>188</v>
      </c>
      <c r="AX7" s="869"/>
      <c r="AY7" s="868" t="s">
        <v>189</v>
      </c>
      <c r="AZ7" s="869"/>
      <c r="BA7" s="870" t="s">
        <v>172</v>
      </c>
      <c r="BB7" s="870"/>
      <c r="BC7" s="885" t="s">
        <v>173</v>
      </c>
      <c r="BD7" s="885"/>
      <c r="BE7" s="885" t="s">
        <v>174</v>
      </c>
      <c r="BF7" s="885"/>
      <c r="BG7" s="885" t="s">
        <v>175</v>
      </c>
      <c r="BH7" s="885"/>
      <c r="BI7" s="885" t="s">
        <v>176</v>
      </c>
      <c r="BJ7" s="885"/>
      <c r="BK7" s="885" t="s">
        <v>177</v>
      </c>
      <c r="BL7" s="885"/>
      <c r="BM7" s="270"/>
      <c r="BN7" s="658" t="s">
        <v>97</v>
      </c>
      <c r="BO7" s="868" t="s">
        <v>98</v>
      </c>
      <c r="BP7" s="869"/>
      <c r="BQ7" s="868" t="s">
        <v>98</v>
      </c>
      <c r="BR7" s="869"/>
      <c r="BS7" s="868" t="s">
        <v>99</v>
      </c>
      <c r="BT7" s="869"/>
      <c r="BU7" s="868" t="s">
        <v>100</v>
      </c>
      <c r="BV7" s="879"/>
      <c r="BW7" s="296"/>
      <c r="BX7" s="427" t="s">
        <v>97</v>
      </c>
      <c r="BY7" s="880" t="s">
        <v>144</v>
      </c>
      <c r="BZ7" s="869"/>
      <c r="CA7" s="868" t="s">
        <v>145</v>
      </c>
      <c r="CB7" s="869"/>
      <c r="CC7" s="868" t="s">
        <v>146</v>
      </c>
      <c r="CD7" s="869"/>
      <c r="CE7" s="877" t="s">
        <v>114</v>
      </c>
      <c r="CF7" s="878"/>
      <c r="CG7" s="843" t="s">
        <v>101</v>
      </c>
      <c r="CH7" s="844"/>
      <c r="CI7" s="850" t="s">
        <v>131</v>
      </c>
      <c r="CJ7" s="851"/>
      <c r="CK7" s="850" t="s">
        <v>102</v>
      </c>
      <c r="CL7" s="851"/>
      <c r="CM7" s="843" t="s">
        <v>199</v>
      </c>
      <c r="CN7" s="844"/>
      <c r="CO7" s="850" t="s">
        <v>200</v>
      </c>
      <c r="CP7" s="851"/>
      <c r="CQ7" s="843" t="s">
        <v>148</v>
      </c>
      <c r="CR7" s="844"/>
      <c r="CS7" s="881" t="s">
        <v>180</v>
      </c>
      <c r="CT7" s="882"/>
      <c r="CU7" s="881" t="s">
        <v>180</v>
      </c>
      <c r="CV7" s="882"/>
      <c r="CW7" s="881" t="s">
        <v>183</v>
      </c>
      <c r="CX7" s="882"/>
    </row>
    <row r="8" spans="1:102" s="271" customFormat="1" ht="52.5" customHeight="1" thickBot="1">
      <c r="A8" s="695"/>
      <c r="B8" s="50" t="s">
        <v>158</v>
      </c>
      <c r="C8" s="51" t="s">
        <v>18</v>
      </c>
      <c r="D8" s="50" t="s">
        <v>159</v>
      </c>
      <c r="E8" s="51" t="s">
        <v>18</v>
      </c>
      <c r="F8" s="50" t="s">
        <v>160</v>
      </c>
      <c r="G8" s="51" t="s">
        <v>18</v>
      </c>
      <c r="H8" s="50" t="s">
        <v>161</v>
      </c>
      <c r="I8" s="51" t="s">
        <v>18</v>
      </c>
      <c r="J8" s="50" t="s">
        <v>162</v>
      </c>
      <c r="K8" s="51" t="s">
        <v>18</v>
      </c>
      <c r="L8" s="50" t="s">
        <v>163</v>
      </c>
      <c r="M8" s="51" t="s">
        <v>18</v>
      </c>
      <c r="N8" s="49"/>
      <c r="O8" s="297" t="s">
        <v>120</v>
      </c>
      <c r="P8" s="272" t="s">
        <v>20</v>
      </c>
      <c r="Q8" s="297" t="s">
        <v>121</v>
      </c>
      <c r="R8" s="272" t="s">
        <v>20</v>
      </c>
      <c r="S8" s="298" t="s">
        <v>168</v>
      </c>
      <c r="T8" s="12" t="s">
        <v>169</v>
      </c>
      <c r="U8" s="298" t="s">
        <v>170</v>
      </c>
      <c r="V8" s="12" t="s">
        <v>169</v>
      </c>
      <c r="W8" s="298" t="s">
        <v>171</v>
      </c>
      <c r="X8" s="12" t="s">
        <v>169</v>
      </c>
      <c r="Y8" s="270"/>
      <c r="Z8" s="299" t="s">
        <v>104</v>
      </c>
      <c r="AA8" s="273" t="s">
        <v>18</v>
      </c>
      <c r="AB8" s="299" t="s">
        <v>105</v>
      </c>
      <c r="AC8" s="273" t="s">
        <v>20</v>
      </c>
      <c r="AD8" s="294" t="s">
        <v>106</v>
      </c>
      <c r="AE8" s="280" t="s">
        <v>20</v>
      </c>
      <c r="AF8" s="268" t="s">
        <v>129</v>
      </c>
      <c r="AG8" s="269" t="s">
        <v>103</v>
      </c>
      <c r="AH8" s="268" t="s">
        <v>130</v>
      </c>
      <c r="AI8" s="269" t="s">
        <v>103</v>
      </c>
      <c r="AJ8" s="409" t="s">
        <v>191</v>
      </c>
      <c r="AK8" s="409" t="s">
        <v>18</v>
      </c>
      <c r="AL8" s="410" t="s">
        <v>193</v>
      </c>
      <c r="AM8" s="279" t="s">
        <v>18</v>
      </c>
      <c r="AN8" s="410" t="s">
        <v>135</v>
      </c>
      <c r="AO8" s="279" t="s">
        <v>18</v>
      </c>
      <c r="AP8" s="410" t="s">
        <v>136</v>
      </c>
      <c r="AQ8" s="279" t="s">
        <v>18</v>
      </c>
      <c r="AR8" s="410" t="s">
        <v>143</v>
      </c>
      <c r="AS8" s="279" t="s">
        <v>18</v>
      </c>
      <c r="AT8" s="282"/>
      <c r="AU8" s="268" t="s">
        <v>128</v>
      </c>
      <c r="AV8" s="269" t="s">
        <v>16</v>
      </c>
      <c r="AW8" s="268" t="s">
        <v>187</v>
      </c>
      <c r="AX8" s="269" t="s">
        <v>17</v>
      </c>
      <c r="AY8" s="268" t="s">
        <v>190</v>
      </c>
      <c r="AZ8" s="269" t="s">
        <v>103</v>
      </c>
      <c r="BA8" s="267" t="s">
        <v>142</v>
      </c>
      <c r="BB8" s="269" t="s">
        <v>18</v>
      </c>
      <c r="BC8" s="267" t="s">
        <v>137</v>
      </c>
      <c r="BD8" s="267" t="s">
        <v>18</v>
      </c>
      <c r="BE8" s="267" t="s">
        <v>140</v>
      </c>
      <c r="BF8" s="267" t="s">
        <v>18</v>
      </c>
      <c r="BG8" s="267" t="s">
        <v>139</v>
      </c>
      <c r="BH8" s="267" t="s">
        <v>18</v>
      </c>
      <c r="BI8" s="267" t="s">
        <v>141</v>
      </c>
      <c r="BJ8" s="267" t="s">
        <v>18</v>
      </c>
      <c r="BK8" s="267" t="s">
        <v>138</v>
      </c>
      <c r="BL8" s="267" t="s">
        <v>18</v>
      </c>
      <c r="BM8" s="270"/>
      <c r="BN8" s="659"/>
      <c r="BO8" s="268" t="s">
        <v>115</v>
      </c>
      <c r="BP8" s="269" t="s">
        <v>45</v>
      </c>
      <c r="BQ8" s="268" t="s">
        <v>116</v>
      </c>
      <c r="BR8" s="269" t="s">
        <v>45</v>
      </c>
      <c r="BS8" s="276" t="s">
        <v>117</v>
      </c>
      <c r="BT8" s="269" t="s">
        <v>45</v>
      </c>
      <c r="BU8" s="276" t="s">
        <v>118</v>
      </c>
      <c r="BV8" s="413" t="s">
        <v>45</v>
      </c>
      <c r="BW8" s="411"/>
      <c r="BX8" s="422"/>
      <c r="BY8" s="416" t="s">
        <v>107</v>
      </c>
      <c r="BZ8" s="275" t="s">
        <v>103</v>
      </c>
      <c r="CA8" s="274" t="s">
        <v>108</v>
      </c>
      <c r="CB8" s="275" t="s">
        <v>103</v>
      </c>
      <c r="CC8" s="276" t="s">
        <v>122</v>
      </c>
      <c r="CD8" s="275" t="s">
        <v>20</v>
      </c>
      <c r="CE8" s="277" t="s">
        <v>147</v>
      </c>
      <c r="CF8" s="275" t="s">
        <v>18</v>
      </c>
      <c r="CG8" s="263" t="s">
        <v>109</v>
      </c>
      <c r="CH8" s="278" t="s">
        <v>21</v>
      </c>
      <c r="CI8" s="263" t="s">
        <v>132</v>
      </c>
      <c r="CJ8" s="278" t="s">
        <v>103</v>
      </c>
      <c r="CK8" s="279" t="s">
        <v>110</v>
      </c>
      <c r="CL8" s="269" t="s">
        <v>18</v>
      </c>
      <c r="CM8" s="279" t="s">
        <v>198</v>
      </c>
      <c r="CN8" s="269" t="s">
        <v>18</v>
      </c>
      <c r="CO8" s="279" t="s">
        <v>212</v>
      </c>
      <c r="CP8" s="269" t="s">
        <v>45</v>
      </c>
      <c r="CQ8" s="263" t="s">
        <v>149</v>
      </c>
      <c r="CR8" s="278" t="s">
        <v>18</v>
      </c>
      <c r="CS8" s="430" t="s">
        <v>181</v>
      </c>
      <c r="CT8" s="431" t="s">
        <v>45</v>
      </c>
      <c r="CU8" s="430" t="s">
        <v>182</v>
      </c>
      <c r="CV8" s="431" t="s">
        <v>45</v>
      </c>
      <c r="CW8" s="430" t="s">
        <v>184</v>
      </c>
      <c r="CX8" s="431" t="s">
        <v>18</v>
      </c>
    </row>
    <row r="9" spans="1:102" s="304" customFormat="1" ht="13.5" thickBot="1">
      <c r="A9" s="300">
        <v>2</v>
      </c>
      <c r="B9" s="260"/>
      <c r="C9" s="287"/>
      <c r="D9" s="301"/>
      <c r="E9" s="287"/>
      <c r="F9" s="154"/>
      <c r="G9" s="287"/>
      <c r="H9" s="154"/>
      <c r="I9" s="287"/>
      <c r="J9" s="154"/>
      <c r="K9" s="287"/>
      <c r="L9" s="154"/>
      <c r="M9" s="287"/>
      <c r="N9" s="289"/>
      <c r="O9" s="302">
        <v>8252.3</v>
      </c>
      <c r="P9" s="303"/>
      <c r="Q9" s="302">
        <v>2660.1</v>
      </c>
      <c r="R9" s="332"/>
      <c r="S9" s="314"/>
      <c r="T9" s="336"/>
      <c r="U9" s="291"/>
      <c r="V9" s="340"/>
      <c r="W9" s="314"/>
      <c r="X9" s="336"/>
      <c r="Z9" s="449"/>
      <c r="AA9" s="306"/>
      <c r="AB9" s="305">
        <v>6354.4</v>
      </c>
      <c r="AC9" s="307"/>
      <c r="AD9" s="308">
        <v>3593.9</v>
      </c>
      <c r="AE9" s="309"/>
      <c r="AF9" s="300">
        <v>4900.9</v>
      </c>
      <c r="AG9" s="233"/>
      <c r="AH9" s="300">
        <v>5777.4</v>
      </c>
      <c r="AI9" s="231"/>
      <c r="AJ9" s="260"/>
      <c r="AK9" s="287"/>
      <c r="AL9" s="301"/>
      <c r="AM9" s="287"/>
      <c r="AN9" s="55"/>
      <c r="AO9" s="287"/>
      <c r="AP9" s="154"/>
      <c r="AQ9" s="287"/>
      <c r="AR9" s="154"/>
      <c r="AS9" s="287"/>
      <c r="AT9" s="310"/>
      <c r="AU9" s="300">
        <v>13588</v>
      </c>
      <c r="AV9" s="231"/>
      <c r="AW9" s="300">
        <v>11293.1</v>
      </c>
      <c r="AX9" s="231"/>
      <c r="AY9" s="300">
        <v>2425.7</v>
      </c>
      <c r="AZ9" s="231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N9" s="7">
        <v>2</v>
      </c>
      <c r="BO9" s="311">
        <v>8996</v>
      </c>
      <c r="BP9" s="228"/>
      <c r="BQ9" s="311">
        <v>4673</v>
      </c>
      <c r="BR9" s="228"/>
      <c r="BS9" s="312">
        <v>4651</v>
      </c>
      <c r="BT9" s="228"/>
      <c r="BU9" s="313">
        <v>4619.7</v>
      </c>
      <c r="BV9" s="414"/>
      <c r="BW9" s="49"/>
      <c r="BX9" s="423">
        <v>2</v>
      </c>
      <c r="BY9" s="417">
        <v>16497.8</v>
      </c>
      <c r="BZ9" s="15"/>
      <c r="CA9" s="226">
        <v>6237.2</v>
      </c>
      <c r="CB9" s="7"/>
      <c r="CC9" s="7">
        <v>18445</v>
      </c>
      <c r="CD9" s="7"/>
      <c r="CE9" s="322">
        <v>40308.7</v>
      </c>
      <c r="CF9" s="7"/>
      <c r="CG9" s="227">
        <v>29440</v>
      </c>
      <c r="CH9" s="7"/>
      <c r="CI9" s="475">
        <v>28255.54</v>
      </c>
      <c r="CJ9" s="7"/>
      <c r="CK9" s="314">
        <v>75957</v>
      </c>
      <c r="CL9" s="13"/>
      <c r="CM9" s="230"/>
      <c r="CN9" s="13"/>
      <c r="CO9" s="230">
        <v>5887.433</v>
      </c>
      <c r="CP9" s="13"/>
      <c r="CQ9" s="314"/>
      <c r="CR9" s="7"/>
      <c r="CS9" s="432"/>
      <c r="CT9" s="433"/>
      <c r="CU9" s="434"/>
      <c r="CV9" s="433"/>
      <c r="CW9" s="435"/>
      <c r="CX9" s="433"/>
    </row>
    <row r="10" spans="1:102" s="304" customFormat="1" ht="13.5" thickBot="1">
      <c r="A10" s="315">
        <v>3</v>
      </c>
      <c r="B10" s="301"/>
      <c r="C10" s="288">
        <f>(B10-B9)*1</f>
        <v>0</v>
      </c>
      <c r="D10" s="260"/>
      <c r="E10" s="288">
        <f aca="true" t="shared" si="0" ref="E10:E33">(D10-D9)*1</f>
        <v>0</v>
      </c>
      <c r="F10" s="55"/>
      <c r="G10" s="288">
        <f aca="true" t="shared" si="1" ref="G10:G33">(F10-F9)*1</f>
        <v>0</v>
      </c>
      <c r="H10" s="55"/>
      <c r="I10" s="288">
        <f aca="true" t="shared" si="2" ref="I10:I33">(H10-H9)*1</f>
        <v>0</v>
      </c>
      <c r="J10" s="154"/>
      <c r="K10" s="288">
        <f aca="true" t="shared" si="3" ref="K10:K33">(J10-J9)*1</f>
        <v>0</v>
      </c>
      <c r="L10" s="55"/>
      <c r="M10" s="288">
        <f aca="true" t="shared" si="4" ref="M10:M33">(L10-L9)*1</f>
        <v>0</v>
      </c>
      <c r="N10" s="290"/>
      <c r="O10" s="302">
        <v>8252.4</v>
      </c>
      <c r="P10" s="292">
        <f>(O10-O9)*40</f>
        <v>4.000000000014552</v>
      </c>
      <c r="Q10" s="302">
        <v>2660.2</v>
      </c>
      <c r="R10" s="333">
        <f aca="true" t="shared" si="5" ref="R10:R33">(Q10-Q9)*40</f>
        <v>3.999999999996362</v>
      </c>
      <c r="S10" s="338"/>
      <c r="T10" s="337">
        <f aca="true" t="shared" si="6" ref="T10:T33">(S10-S9)*1</f>
        <v>0</v>
      </c>
      <c r="U10" s="291"/>
      <c r="V10" s="333">
        <f aca="true" t="shared" si="7" ref="V10:V33">(U10-U9)*1</f>
        <v>0</v>
      </c>
      <c r="W10" s="338"/>
      <c r="X10" s="337">
        <f aca="true" t="shared" si="8" ref="X10:X33">(W10-W9)*1</f>
        <v>0</v>
      </c>
      <c r="Z10" s="317"/>
      <c r="AA10" s="448">
        <f aca="true" t="shared" si="9" ref="AA10:AA33">(Z10-Z9)*1</f>
        <v>0</v>
      </c>
      <c r="AB10" s="305">
        <v>6354.4</v>
      </c>
      <c r="AC10" s="288">
        <f aca="true" t="shared" si="10" ref="AC10:AC33">(AB10-AB9)*40</f>
        <v>0</v>
      </c>
      <c r="AD10" s="308">
        <v>3594</v>
      </c>
      <c r="AE10" s="288">
        <f aca="true" t="shared" si="11" ref="AE10:AE33">(AD10-AD9)*40</f>
        <v>3.999999999996362</v>
      </c>
      <c r="AF10" s="300">
        <v>4901</v>
      </c>
      <c r="AG10" s="13">
        <f>(AF10-AF9)*20</f>
        <v>2.000000000007276</v>
      </c>
      <c r="AH10" s="300">
        <v>5777.43</v>
      </c>
      <c r="AI10" s="13">
        <f>(AH10-AH9)*20</f>
        <v>0.6000000000130967</v>
      </c>
      <c r="AJ10" s="301"/>
      <c r="AK10" s="288">
        <f>(AJ10-AJ9)*1</f>
        <v>0</v>
      </c>
      <c r="AL10" s="260"/>
      <c r="AM10" s="288">
        <f aca="true" t="shared" si="12" ref="AM10:AM33">(AL10-AL9)*1</f>
        <v>0</v>
      </c>
      <c r="AN10" s="55"/>
      <c r="AO10" s="288">
        <f aca="true" t="shared" si="13" ref="AO10:AO33">(AN10-AN9)*1</f>
        <v>0</v>
      </c>
      <c r="AP10" s="55"/>
      <c r="AQ10" s="288">
        <f aca="true" t="shared" si="14" ref="AQ10:AQ33">(AP10-AP9)*1</f>
        <v>0</v>
      </c>
      <c r="AR10" s="154"/>
      <c r="AS10" s="288">
        <f aca="true" t="shared" si="15" ref="AS10:AS33">(AR10-AR9)*1</f>
        <v>0</v>
      </c>
      <c r="AT10" s="310"/>
      <c r="AU10" s="300">
        <v>13588.2</v>
      </c>
      <c r="AV10" s="13">
        <f>(AU10-AU9)*15</f>
        <v>3.000000000010914</v>
      </c>
      <c r="AW10" s="300">
        <v>11293.1</v>
      </c>
      <c r="AX10" s="13">
        <f>(AW10-AW9)*30</f>
        <v>0</v>
      </c>
      <c r="AY10" s="300">
        <v>2425.8</v>
      </c>
      <c r="AZ10" s="13">
        <f>(AY10-AY9)*20</f>
        <v>2.000000000007276</v>
      </c>
      <c r="BA10" s="318"/>
      <c r="BB10" s="266">
        <f>(BA10-BA9)*1</f>
        <v>0</v>
      </c>
      <c r="BC10" s="318"/>
      <c r="BD10" s="266">
        <f>(BC10-BC9)*1</f>
        <v>0</v>
      </c>
      <c r="BE10" s="318"/>
      <c r="BF10" s="266">
        <f>(BE10-BE9)*1</f>
        <v>0</v>
      </c>
      <c r="BG10" s="318"/>
      <c r="BH10" s="266">
        <f>(BG10-BG9)*1</f>
        <v>0</v>
      </c>
      <c r="BI10" s="318"/>
      <c r="BJ10" s="266">
        <f>(BI10-BI9)*1</f>
        <v>0</v>
      </c>
      <c r="BK10" s="318"/>
      <c r="BL10" s="266">
        <f>(BK10-BK9)*1</f>
        <v>0</v>
      </c>
      <c r="BN10" s="231">
        <v>3</v>
      </c>
      <c r="BO10" s="311">
        <v>8996</v>
      </c>
      <c r="BP10" s="232">
        <f>(BO10-BO9)*60</f>
        <v>0</v>
      </c>
      <c r="BQ10" s="311">
        <v>4673</v>
      </c>
      <c r="BR10" s="232">
        <f>(BQ10-BQ9)*60</f>
        <v>0</v>
      </c>
      <c r="BS10" s="312">
        <v>4651</v>
      </c>
      <c r="BT10" s="232">
        <f>(BS10-BS9)*60</f>
        <v>0</v>
      </c>
      <c r="BU10" s="313">
        <v>4619.7</v>
      </c>
      <c r="BV10" s="415">
        <f>(BU10-BU9)*60</f>
        <v>0</v>
      </c>
      <c r="BW10" s="49"/>
      <c r="BX10" s="424">
        <v>3</v>
      </c>
      <c r="BY10" s="417">
        <v>16497.8</v>
      </c>
      <c r="BZ10" s="14">
        <f>(BY10-BY9)*20</f>
        <v>0</v>
      </c>
      <c r="CA10" s="226">
        <v>6237.2</v>
      </c>
      <c r="CB10" s="13">
        <f>(CA10-CA9)*20</f>
        <v>0</v>
      </c>
      <c r="CC10" s="7">
        <v>18445</v>
      </c>
      <c r="CD10" s="13">
        <f aca="true" t="shared" si="16" ref="CD10:CD33">(CC10-CC9)*40</f>
        <v>0</v>
      </c>
      <c r="CE10" s="322">
        <v>40308.7</v>
      </c>
      <c r="CF10" s="13">
        <f>(CE10-CE9)*1</f>
        <v>0</v>
      </c>
      <c r="CG10" s="227">
        <v>29440</v>
      </c>
      <c r="CH10" s="13">
        <f aca="true" t="shared" si="17" ref="CH10:CH33">(CG10-CG9)*80</f>
        <v>0</v>
      </c>
      <c r="CI10" s="475">
        <v>28255.9565</v>
      </c>
      <c r="CJ10" s="13">
        <f aca="true" t="shared" si="18" ref="CJ10:CJ33">(CI10-CI9)*20</f>
        <v>8.329999999987194</v>
      </c>
      <c r="CK10" s="314">
        <v>75957</v>
      </c>
      <c r="CL10" s="13">
        <f aca="true" t="shared" si="19" ref="CL10:CL33">(CK10-CK9)*1</f>
        <v>0</v>
      </c>
      <c r="CM10" s="230"/>
      <c r="CN10" s="13">
        <f aca="true" t="shared" si="20" ref="CN10:CN33">(CM10-CM9)*1</f>
        <v>0</v>
      </c>
      <c r="CO10" s="230">
        <v>5887.573</v>
      </c>
      <c r="CP10" s="13">
        <f>(CO10-CO9)*60</f>
        <v>8.400000000019645</v>
      </c>
      <c r="CQ10" s="319"/>
      <c r="CR10" s="13">
        <f aca="true" t="shared" si="21" ref="CR10:CR15">(CQ10-CQ9)*1</f>
        <v>0</v>
      </c>
      <c r="CS10" s="436"/>
      <c r="CT10" s="437">
        <f>(CS10-CS9)*60</f>
        <v>0</v>
      </c>
      <c r="CU10" s="434"/>
      <c r="CV10" s="437">
        <f>(CU10-CU9)*60</f>
        <v>0</v>
      </c>
      <c r="CW10" s="438"/>
      <c r="CX10" s="437">
        <f aca="true" t="shared" si="22" ref="CX10:CX15">(CW10-CW9)*1</f>
        <v>0</v>
      </c>
    </row>
    <row r="11" spans="1:102" s="304" customFormat="1" ht="13.5" thickBot="1">
      <c r="A11" s="315">
        <v>4</v>
      </c>
      <c r="B11" s="260"/>
      <c r="C11" s="288">
        <f aca="true" t="shared" si="23" ref="C11:C33">(B11-B10)*1</f>
        <v>0</v>
      </c>
      <c r="D11" s="301"/>
      <c r="E11" s="288">
        <f t="shared" si="0"/>
        <v>0</v>
      </c>
      <c r="F11" s="154"/>
      <c r="G11" s="288">
        <f t="shared" si="1"/>
        <v>0</v>
      </c>
      <c r="H11" s="154"/>
      <c r="I11" s="288">
        <f t="shared" si="2"/>
        <v>0</v>
      </c>
      <c r="J11" s="55"/>
      <c r="K11" s="288">
        <f t="shared" si="3"/>
        <v>0</v>
      </c>
      <c r="L11" s="154"/>
      <c r="M11" s="288">
        <f t="shared" si="4"/>
        <v>0</v>
      </c>
      <c r="N11" s="290"/>
      <c r="O11" s="302">
        <v>8252.8</v>
      </c>
      <c r="P11" s="292">
        <f aca="true" t="shared" si="24" ref="P11:P33">(O11-O10)*40</f>
        <v>15.999999999985448</v>
      </c>
      <c r="Q11" s="302">
        <v>2660.2</v>
      </c>
      <c r="R11" s="333">
        <f t="shared" si="5"/>
        <v>0</v>
      </c>
      <c r="S11" s="338"/>
      <c r="T11" s="337">
        <f t="shared" si="6"/>
        <v>0</v>
      </c>
      <c r="U11" s="291"/>
      <c r="V11" s="333">
        <f t="shared" si="7"/>
        <v>0</v>
      </c>
      <c r="W11" s="338"/>
      <c r="X11" s="337">
        <f t="shared" si="8"/>
        <v>0</v>
      </c>
      <c r="Z11" s="317"/>
      <c r="AA11" s="448">
        <f t="shared" si="9"/>
        <v>0</v>
      </c>
      <c r="AB11" s="305">
        <v>6354.5</v>
      </c>
      <c r="AC11" s="288">
        <f t="shared" si="10"/>
        <v>4.000000000014552</v>
      </c>
      <c r="AD11" s="308">
        <v>3594.1</v>
      </c>
      <c r="AE11" s="288">
        <f t="shared" si="11"/>
        <v>3.999999999996362</v>
      </c>
      <c r="AF11" s="300">
        <v>4901.1</v>
      </c>
      <c r="AG11" s="13">
        <f aca="true" t="shared" si="25" ref="AG11:AI26">(AF11-AF10)*20</f>
        <v>2.000000000007276</v>
      </c>
      <c r="AH11" s="300">
        <v>5777.48</v>
      </c>
      <c r="AI11" s="13">
        <f t="shared" si="25"/>
        <v>0.9999999999854481</v>
      </c>
      <c r="AJ11" s="260"/>
      <c r="AK11" s="288">
        <f aca="true" t="shared" si="26" ref="AK11:AK33">(AJ11-AJ10)*1</f>
        <v>0</v>
      </c>
      <c r="AL11" s="301"/>
      <c r="AM11" s="288">
        <f t="shared" si="12"/>
        <v>0</v>
      </c>
      <c r="AN11" s="154"/>
      <c r="AO11" s="288">
        <f t="shared" si="13"/>
        <v>0</v>
      </c>
      <c r="AP11" s="154"/>
      <c r="AQ11" s="288">
        <f t="shared" si="14"/>
        <v>0</v>
      </c>
      <c r="AR11" s="55"/>
      <c r="AS11" s="288">
        <f t="shared" si="15"/>
        <v>0</v>
      </c>
      <c r="AT11" s="310"/>
      <c r="AU11" s="300">
        <v>13588.4</v>
      </c>
      <c r="AV11" s="13">
        <f aca="true" t="shared" si="27" ref="AV11:AV26">(AU11-AU10)*15</f>
        <v>2.999999999983629</v>
      </c>
      <c r="AW11" s="300">
        <v>11293.2</v>
      </c>
      <c r="AX11" s="13">
        <f aca="true" t="shared" si="28" ref="AX11:AX33">(AW11-AW10)*30</f>
        <v>3.000000000010914</v>
      </c>
      <c r="AY11" s="300">
        <v>2425.8</v>
      </c>
      <c r="AZ11" s="13">
        <f aca="true" t="shared" si="29" ref="AZ11:AZ33">(AY11-AY10)*20</f>
        <v>0</v>
      </c>
      <c r="BA11" s="318"/>
      <c r="BB11" s="266">
        <f aca="true" t="shared" si="30" ref="BB11:BB33">(BA11-BA10)*1</f>
        <v>0</v>
      </c>
      <c r="BC11" s="318"/>
      <c r="BD11" s="266">
        <f aca="true" t="shared" si="31" ref="BD11:BD33">(BC11-BC10)*1</f>
        <v>0</v>
      </c>
      <c r="BE11" s="318"/>
      <c r="BF11" s="266">
        <f aca="true" t="shared" si="32" ref="BF11:BF33">(BE11-BE10)*1</f>
        <v>0</v>
      </c>
      <c r="BG11" s="318"/>
      <c r="BH11" s="266">
        <f aca="true" t="shared" si="33" ref="BH11:BH33">(BG11-BG10)*1</f>
        <v>0</v>
      </c>
      <c r="BI11" s="318"/>
      <c r="BJ11" s="266">
        <f aca="true" t="shared" si="34" ref="BJ11:BJ33">(BI11-BI10)*1</f>
        <v>0</v>
      </c>
      <c r="BK11" s="318"/>
      <c r="BL11" s="266">
        <f aca="true" t="shared" si="35" ref="BL11:BL33">(BK11-BK10)*1</f>
        <v>0</v>
      </c>
      <c r="BN11" s="5">
        <v>4</v>
      </c>
      <c r="BO11" s="311">
        <v>8996</v>
      </c>
      <c r="BP11" s="232">
        <f aca="true" t="shared" si="36" ref="BP11:BP33">(BO11-BO10)*60</f>
        <v>0</v>
      </c>
      <c r="BQ11" s="311">
        <v>4673</v>
      </c>
      <c r="BR11" s="232">
        <f aca="true" t="shared" si="37" ref="BR11:BR33">(BQ11-BQ10)*60</f>
        <v>0</v>
      </c>
      <c r="BS11" s="312">
        <v>4651</v>
      </c>
      <c r="BT11" s="232">
        <f aca="true" t="shared" si="38" ref="BT11:BT33">(BS11-BS10)*60</f>
        <v>0</v>
      </c>
      <c r="BU11" s="313">
        <v>4619.7</v>
      </c>
      <c r="BV11" s="415">
        <f aca="true" t="shared" si="39" ref="BV11:BV33">(BU11-BU10)*60</f>
        <v>0</v>
      </c>
      <c r="BW11" s="49"/>
      <c r="BX11" s="425">
        <v>4</v>
      </c>
      <c r="BY11" s="417">
        <v>16497.8</v>
      </c>
      <c r="BZ11" s="14">
        <f aca="true" t="shared" si="40" ref="BZ11:BZ33">(BY11-BY10)*20</f>
        <v>0</v>
      </c>
      <c r="CA11" s="226">
        <v>6237.2</v>
      </c>
      <c r="CB11" s="13">
        <f aca="true" t="shared" si="41" ref="CB11:CB33">(CA11-CA10)*20</f>
        <v>0</v>
      </c>
      <c r="CC11" s="7">
        <v>18445.1</v>
      </c>
      <c r="CD11" s="13">
        <f t="shared" si="16"/>
        <v>3.9999999999417923</v>
      </c>
      <c r="CE11" s="322">
        <v>40308.7</v>
      </c>
      <c r="CF11" s="13">
        <f aca="true" t="shared" si="42" ref="CF11:CF33">(CE11-CE10)*1</f>
        <v>0</v>
      </c>
      <c r="CG11" s="227">
        <v>29440</v>
      </c>
      <c r="CH11" s="13">
        <f t="shared" si="17"/>
        <v>0</v>
      </c>
      <c r="CI11" s="475">
        <v>28256.3175</v>
      </c>
      <c r="CJ11" s="13">
        <f t="shared" si="18"/>
        <v>7.220000000015716</v>
      </c>
      <c r="CK11" s="314">
        <v>75957</v>
      </c>
      <c r="CL11" s="13">
        <f t="shared" si="19"/>
        <v>0</v>
      </c>
      <c r="CM11" s="230"/>
      <c r="CN11" s="13">
        <f t="shared" si="20"/>
        <v>0</v>
      </c>
      <c r="CO11" s="230">
        <v>5887.713</v>
      </c>
      <c r="CP11" s="13">
        <f aca="true" t="shared" si="43" ref="CP11:CP33">(CO11-CO10)*60</f>
        <v>8.399999999965075</v>
      </c>
      <c r="CQ11" s="319"/>
      <c r="CR11" s="13">
        <f t="shared" si="21"/>
        <v>0</v>
      </c>
      <c r="CS11" s="436"/>
      <c r="CT11" s="437">
        <f aca="true" t="shared" si="44" ref="CT11:CV33">(CS11-CS10)*60</f>
        <v>0</v>
      </c>
      <c r="CU11" s="434"/>
      <c r="CV11" s="437">
        <f t="shared" si="44"/>
        <v>0</v>
      </c>
      <c r="CW11" s="438"/>
      <c r="CX11" s="437">
        <f t="shared" si="22"/>
        <v>0</v>
      </c>
    </row>
    <row r="12" spans="1:102" s="304" customFormat="1" ht="13.5" thickBot="1">
      <c r="A12" s="315">
        <v>5</v>
      </c>
      <c r="B12" s="301"/>
      <c r="C12" s="288">
        <f t="shared" si="23"/>
        <v>0</v>
      </c>
      <c r="D12" s="260"/>
      <c r="E12" s="288">
        <f t="shared" si="0"/>
        <v>0</v>
      </c>
      <c r="F12" s="55"/>
      <c r="G12" s="288">
        <f t="shared" si="1"/>
        <v>0</v>
      </c>
      <c r="H12" s="55"/>
      <c r="I12" s="288">
        <f t="shared" si="2"/>
        <v>0</v>
      </c>
      <c r="J12" s="55"/>
      <c r="K12" s="288">
        <f t="shared" si="3"/>
        <v>0</v>
      </c>
      <c r="L12" s="55"/>
      <c r="M12" s="288">
        <f t="shared" si="4"/>
        <v>0</v>
      </c>
      <c r="N12" s="290"/>
      <c r="O12" s="302">
        <v>8253</v>
      </c>
      <c r="P12" s="292">
        <f t="shared" si="24"/>
        <v>8.000000000029104</v>
      </c>
      <c r="Q12" s="302">
        <v>2660.2</v>
      </c>
      <c r="R12" s="333">
        <f t="shared" si="5"/>
        <v>0</v>
      </c>
      <c r="S12" s="338"/>
      <c r="T12" s="337">
        <f t="shared" si="6"/>
        <v>0</v>
      </c>
      <c r="U12" s="291"/>
      <c r="V12" s="333">
        <f t="shared" si="7"/>
        <v>0</v>
      </c>
      <c r="W12" s="338"/>
      <c r="X12" s="337">
        <f t="shared" si="8"/>
        <v>0</v>
      </c>
      <c r="Z12" s="317"/>
      <c r="AA12" s="448">
        <f t="shared" si="9"/>
        <v>0</v>
      </c>
      <c r="AB12" s="305">
        <v>6354.6</v>
      </c>
      <c r="AC12" s="288">
        <f t="shared" si="10"/>
        <v>4.000000000014552</v>
      </c>
      <c r="AD12" s="308">
        <v>3594.1</v>
      </c>
      <c r="AE12" s="288">
        <f t="shared" si="11"/>
        <v>0</v>
      </c>
      <c r="AF12" s="300">
        <v>4901.1</v>
      </c>
      <c r="AG12" s="13">
        <f t="shared" si="25"/>
        <v>0</v>
      </c>
      <c r="AH12" s="300">
        <v>5777.5</v>
      </c>
      <c r="AI12" s="13">
        <f t="shared" si="25"/>
        <v>0.40000000000873115</v>
      </c>
      <c r="AJ12" s="301"/>
      <c r="AK12" s="288">
        <f t="shared" si="26"/>
        <v>0</v>
      </c>
      <c r="AL12" s="260"/>
      <c r="AM12" s="288">
        <f t="shared" si="12"/>
        <v>0</v>
      </c>
      <c r="AN12" s="55"/>
      <c r="AO12" s="288">
        <f t="shared" si="13"/>
        <v>0</v>
      </c>
      <c r="AP12" s="55"/>
      <c r="AQ12" s="288">
        <f t="shared" si="14"/>
        <v>0</v>
      </c>
      <c r="AR12" s="55"/>
      <c r="AS12" s="288">
        <f t="shared" si="15"/>
        <v>0</v>
      </c>
      <c r="AT12" s="310"/>
      <c r="AU12" s="300">
        <v>13588.5</v>
      </c>
      <c r="AV12" s="13">
        <f t="shared" si="27"/>
        <v>1.500000000005457</v>
      </c>
      <c r="AW12" s="300">
        <v>11293.3</v>
      </c>
      <c r="AX12" s="13">
        <f t="shared" si="28"/>
        <v>2.9999999999563443</v>
      </c>
      <c r="AY12" s="300">
        <v>2425.9</v>
      </c>
      <c r="AZ12" s="13">
        <f t="shared" si="29"/>
        <v>1.999999999998181</v>
      </c>
      <c r="BA12" s="318"/>
      <c r="BB12" s="266">
        <f t="shared" si="30"/>
        <v>0</v>
      </c>
      <c r="BC12" s="318"/>
      <c r="BD12" s="266">
        <f t="shared" si="31"/>
        <v>0</v>
      </c>
      <c r="BE12" s="318"/>
      <c r="BF12" s="266">
        <f t="shared" si="32"/>
        <v>0</v>
      </c>
      <c r="BG12" s="318"/>
      <c r="BH12" s="266">
        <f t="shared" si="33"/>
        <v>0</v>
      </c>
      <c r="BI12" s="318"/>
      <c r="BJ12" s="266">
        <f t="shared" si="34"/>
        <v>0</v>
      </c>
      <c r="BK12" s="318"/>
      <c r="BL12" s="266">
        <f t="shared" si="35"/>
        <v>0</v>
      </c>
      <c r="BN12" s="5">
        <v>5</v>
      </c>
      <c r="BO12" s="311">
        <v>8996</v>
      </c>
      <c r="BP12" s="232">
        <f t="shared" si="36"/>
        <v>0</v>
      </c>
      <c r="BQ12" s="311">
        <v>4673</v>
      </c>
      <c r="BR12" s="232">
        <f t="shared" si="37"/>
        <v>0</v>
      </c>
      <c r="BS12" s="312">
        <v>4651</v>
      </c>
      <c r="BT12" s="232">
        <f t="shared" si="38"/>
        <v>0</v>
      </c>
      <c r="BU12" s="313">
        <v>4619.7</v>
      </c>
      <c r="BV12" s="415">
        <f t="shared" si="39"/>
        <v>0</v>
      </c>
      <c r="BW12" s="49"/>
      <c r="BX12" s="425">
        <v>5</v>
      </c>
      <c r="BY12" s="417">
        <v>16497.8</v>
      </c>
      <c r="BZ12" s="14">
        <f t="shared" si="40"/>
        <v>0</v>
      </c>
      <c r="CA12" s="226">
        <v>6237.2</v>
      </c>
      <c r="CB12" s="13">
        <f t="shared" si="41"/>
        <v>0</v>
      </c>
      <c r="CC12" s="7">
        <v>18445.1</v>
      </c>
      <c r="CD12" s="13">
        <f t="shared" si="16"/>
        <v>0</v>
      </c>
      <c r="CE12" s="322">
        <v>40308.7</v>
      </c>
      <c r="CF12" s="13">
        <f t="shared" si="42"/>
        <v>0</v>
      </c>
      <c r="CG12" s="227">
        <v>29440</v>
      </c>
      <c r="CH12" s="13">
        <f t="shared" si="17"/>
        <v>0</v>
      </c>
      <c r="CI12" s="475">
        <v>28256.7515</v>
      </c>
      <c r="CJ12" s="13">
        <f t="shared" si="18"/>
        <v>8.67999999994936</v>
      </c>
      <c r="CK12" s="314">
        <v>75957</v>
      </c>
      <c r="CL12" s="13">
        <f t="shared" si="19"/>
        <v>0</v>
      </c>
      <c r="CM12" s="230"/>
      <c r="CN12" s="13">
        <f t="shared" si="20"/>
        <v>0</v>
      </c>
      <c r="CO12" s="230">
        <v>5887.854</v>
      </c>
      <c r="CP12" s="13">
        <f t="shared" si="43"/>
        <v>8.460000000031869</v>
      </c>
      <c r="CQ12" s="319"/>
      <c r="CR12" s="13">
        <f t="shared" si="21"/>
        <v>0</v>
      </c>
      <c r="CS12" s="436"/>
      <c r="CT12" s="437">
        <f t="shared" si="44"/>
        <v>0</v>
      </c>
      <c r="CU12" s="434"/>
      <c r="CV12" s="437">
        <f t="shared" si="44"/>
        <v>0</v>
      </c>
      <c r="CW12" s="438"/>
      <c r="CX12" s="437">
        <f t="shared" si="22"/>
        <v>0</v>
      </c>
    </row>
    <row r="13" spans="1:102" s="304" customFormat="1" ht="13.5" thickBot="1">
      <c r="A13" s="315">
        <v>6</v>
      </c>
      <c r="B13" s="320"/>
      <c r="C13" s="288">
        <f t="shared" si="23"/>
        <v>0</v>
      </c>
      <c r="D13" s="301"/>
      <c r="E13" s="288">
        <f t="shared" si="0"/>
        <v>0</v>
      </c>
      <c r="F13" s="154"/>
      <c r="G13" s="288">
        <f t="shared" si="1"/>
        <v>0</v>
      </c>
      <c r="H13" s="154"/>
      <c r="I13" s="288">
        <f t="shared" si="2"/>
        <v>0</v>
      </c>
      <c r="J13" s="154"/>
      <c r="K13" s="288">
        <f t="shared" si="3"/>
        <v>0</v>
      </c>
      <c r="L13" s="154"/>
      <c r="M13" s="288">
        <f t="shared" si="4"/>
        <v>0</v>
      </c>
      <c r="N13" s="290"/>
      <c r="O13" s="302">
        <v>8253.2</v>
      </c>
      <c r="P13" s="292">
        <f t="shared" si="24"/>
        <v>8.000000000029104</v>
      </c>
      <c r="Q13" s="302">
        <v>2660.3</v>
      </c>
      <c r="R13" s="333">
        <f t="shared" si="5"/>
        <v>4.000000000014552</v>
      </c>
      <c r="S13" s="338"/>
      <c r="T13" s="337">
        <f t="shared" si="6"/>
        <v>0</v>
      </c>
      <c r="U13" s="291"/>
      <c r="V13" s="333">
        <f t="shared" si="7"/>
        <v>0</v>
      </c>
      <c r="W13" s="338"/>
      <c r="X13" s="337">
        <f t="shared" si="8"/>
        <v>0</v>
      </c>
      <c r="Z13" s="317"/>
      <c r="AA13" s="448">
        <f t="shared" si="9"/>
        <v>0</v>
      </c>
      <c r="AB13" s="305">
        <v>6354.6</v>
      </c>
      <c r="AC13" s="288">
        <f t="shared" si="10"/>
        <v>0</v>
      </c>
      <c r="AD13" s="308">
        <v>3594.1</v>
      </c>
      <c r="AE13" s="288">
        <f t="shared" si="11"/>
        <v>0</v>
      </c>
      <c r="AF13" s="300">
        <v>4901.1</v>
      </c>
      <c r="AG13" s="13">
        <f t="shared" si="25"/>
        <v>0</v>
      </c>
      <c r="AH13" s="300">
        <v>5777.59</v>
      </c>
      <c r="AI13" s="13">
        <f t="shared" si="25"/>
        <v>1.8000000000029104</v>
      </c>
      <c r="AJ13" s="450"/>
      <c r="AK13" s="288">
        <f t="shared" si="26"/>
        <v>0</v>
      </c>
      <c r="AL13" s="301"/>
      <c r="AM13" s="288">
        <f t="shared" si="12"/>
        <v>0</v>
      </c>
      <c r="AN13" s="154"/>
      <c r="AO13" s="288">
        <f t="shared" si="13"/>
        <v>0</v>
      </c>
      <c r="AP13" s="154"/>
      <c r="AQ13" s="288">
        <f t="shared" si="14"/>
        <v>0</v>
      </c>
      <c r="AR13" s="154"/>
      <c r="AS13" s="288">
        <f t="shared" si="15"/>
        <v>0</v>
      </c>
      <c r="AT13" s="310"/>
      <c r="AU13" s="300">
        <v>13588.7</v>
      </c>
      <c r="AV13" s="13">
        <f t="shared" si="27"/>
        <v>3.000000000010914</v>
      </c>
      <c r="AW13" s="300">
        <v>11293.3</v>
      </c>
      <c r="AX13" s="13">
        <f t="shared" si="28"/>
        <v>0</v>
      </c>
      <c r="AY13" s="300">
        <v>2425.9</v>
      </c>
      <c r="AZ13" s="13">
        <f t="shared" si="29"/>
        <v>0</v>
      </c>
      <c r="BA13" s="318"/>
      <c r="BB13" s="266">
        <f t="shared" si="30"/>
        <v>0</v>
      </c>
      <c r="BC13" s="318"/>
      <c r="BD13" s="266">
        <f t="shared" si="31"/>
        <v>0</v>
      </c>
      <c r="BE13" s="318"/>
      <c r="BF13" s="266">
        <f t="shared" si="32"/>
        <v>0</v>
      </c>
      <c r="BG13" s="318"/>
      <c r="BH13" s="266">
        <f t="shared" si="33"/>
        <v>0</v>
      </c>
      <c r="BI13" s="318"/>
      <c r="BJ13" s="266">
        <f t="shared" si="34"/>
        <v>0</v>
      </c>
      <c r="BK13" s="318"/>
      <c r="BL13" s="266">
        <f t="shared" si="35"/>
        <v>0</v>
      </c>
      <c r="BN13" s="5">
        <v>6</v>
      </c>
      <c r="BO13" s="311">
        <v>8997</v>
      </c>
      <c r="BP13" s="232">
        <f t="shared" si="36"/>
        <v>60</v>
      </c>
      <c r="BQ13" s="311">
        <v>4673</v>
      </c>
      <c r="BR13" s="232">
        <f t="shared" si="37"/>
        <v>0</v>
      </c>
      <c r="BS13" s="312">
        <v>4651</v>
      </c>
      <c r="BT13" s="232">
        <f t="shared" si="38"/>
        <v>0</v>
      </c>
      <c r="BU13" s="313">
        <v>4619.7</v>
      </c>
      <c r="BV13" s="415">
        <f t="shared" si="39"/>
        <v>0</v>
      </c>
      <c r="BW13" s="49"/>
      <c r="BX13" s="425">
        <v>6</v>
      </c>
      <c r="BY13" s="417">
        <v>16498.8</v>
      </c>
      <c r="BZ13" s="14">
        <f t="shared" si="40"/>
        <v>20</v>
      </c>
      <c r="CA13" s="226">
        <v>6237.2</v>
      </c>
      <c r="CB13" s="13">
        <f t="shared" si="41"/>
        <v>0</v>
      </c>
      <c r="CC13" s="7">
        <v>18445.1</v>
      </c>
      <c r="CD13" s="13">
        <f t="shared" si="16"/>
        <v>0</v>
      </c>
      <c r="CE13" s="322">
        <v>40308.7</v>
      </c>
      <c r="CF13" s="13">
        <f t="shared" si="42"/>
        <v>0</v>
      </c>
      <c r="CG13" s="227">
        <v>29441</v>
      </c>
      <c r="CH13" s="13">
        <f t="shared" si="17"/>
        <v>80</v>
      </c>
      <c r="CI13" s="475">
        <v>28257.1535</v>
      </c>
      <c r="CJ13" s="13">
        <f t="shared" si="18"/>
        <v>8.040000000037253</v>
      </c>
      <c r="CK13" s="314">
        <v>75957</v>
      </c>
      <c r="CL13" s="13">
        <f t="shared" si="19"/>
        <v>0</v>
      </c>
      <c r="CM13" s="230"/>
      <c r="CN13" s="13">
        <f t="shared" si="20"/>
        <v>0</v>
      </c>
      <c r="CO13" s="230">
        <v>5887.995999999999</v>
      </c>
      <c r="CP13" s="13">
        <f t="shared" si="43"/>
        <v>8.519999999934953</v>
      </c>
      <c r="CQ13" s="319"/>
      <c r="CR13" s="13">
        <f t="shared" si="21"/>
        <v>0</v>
      </c>
      <c r="CS13" s="436"/>
      <c r="CT13" s="437">
        <f t="shared" si="44"/>
        <v>0</v>
      </c>
      <c r="CU13" s="434"/>
      <c r="CV13" s="437">
        <f t="shared" si="44"/>
        <v>0</v>
      </c>
      <c r="CW13" s="438"/>
      <c r="CX13" s="437">
        <f t="shared" si="22"/>
        <v>0</v>
      </c>
    </row>
    <row r="14" spans="1:102" s="304" customFormat="1" ht="13.5" thickBot="1">
      <c r="A14" s="315">
        <v>7</v>
      </c>
      <c r="B14" s="323"/>
      <c r="C14" s="288">
        <f t="shared" si="23"/>
        <v>0</v>
      </c>
      <c r="D14" s="260"/>
      <c r="E14" s="288">
        <f t="shared" si="0"/>
        <v>0</v>
      </c>
      <c r="F14" s="55"/>
      <c r="G14" s="288">
        <f t="shared" si="1"/>
        <v>0</v>
      </c>
      <c r="H14" s="55"/>
      <c r="I14" s="288">
        <f t="shared" si="2"/>
        <v>0</v>
      </c>
      <c r="J14" s="55"/>
      <c r="K14" s="288">
        <f t="shared" si="3"/>
        <v>0</v>
      </c>
      <c r="L14" s="55"/>
      <c r="M14" s="288">
        <f t="shared" si="4"/>
        <v>0</v>
      </c>
      <c r="N14" s="290"/>
      <c r="O14" s="302">
        <v>8253.5</v>
      </c>
      <c r="P14" s="292">
        <f t="shared" si="24"/>
        <v>11.999999999970896</v>
      </c>
      <c r="Q14" s="302">
        <v>2660.3</v>
      </c>
      <c r="R14" s="333">
        <f t="shared" si="5"/>
        <v>0</v>
      </c>
      <c r="S14" s="338"/>
      <c r="T14" s="337">
        <f t="shared" si="6"/>
        <v>0</v>
      </c>
      <c r="U14" s="291"/>
      <c r="V14" s="333">
        <f t="shared" si="7"/>
        <v>0</v>
      </c>
      <c r="W14" s="338"/>
      <c r="X14" s="337">
        <f t="shared" si="8"/>
        <v>0</v>
      </c>
      <c r="Z14" s="317"/>
      <c r="AA14" s="448">
        <f t="shared" si="9"/>
        <v>0</v>
      </c>
      <c r="AB14" s="305">
        <v>6354.7</v>
      </c>
      <c r="AC14" s="288">
        <f t="shared" si="10"/>
        <v>3.999999999978172</v>
      </c>
      <c r="AD14" s="308">
        <v>3594.2</v>
      </c>
      <c r="AE14" s="288">
        <f t="shared" si="11"/>
        <v>3.999999999996362</v>
      </c>
      <c r="AF14" s="300">
        <v>4901.2</v>
      </c>
      <c r="AG14" s="13">
        <f t="shared" si="25"/>
        <v>1.999999999989086</v>
      </c>
      <c r="AH14" s="300">
        <v>5777.67</v>
      </c>
      <c r="AI14" s="13">
        <f t="shared" si="25"/>
        <v>1.5999999999985448</v>
      </c>
      <c r="AJ14" s="451"/>
      <c r="AK14" s="288">
        <f t="shared" si="26"/>
        <v>0</v>
      </c>
      <c r="AL14" s="260"/>
      <c r="AM14" s="288">
        <f t="shared" si="12"/>
        <v>0</v>
      </c>
      <c r="AN14" s="55"/>
      <c r="AO14" s="288">
        <f t="shared" si="13"/>
        <v>0</v>
      </c>
      <c r="AP14" s="55"/>
      <c r="AQ14" s="288">
        <f t="shared" si="14"/>
        <v>0</v>
      </c>
      <c r="AR14" s="55"/>
      <c r="AS14" s="288">
        <f t="shared" si="15"/>
        <v>0</v>
      </c>
      <c r="AT14" s="310"/>
      <c r="AU14" s="300">
        <v>13588.8</v>
      </c>
      <c r="AV14" s="13">
        <f t="shared" si="27"/>
        <v>1.4999999999781721</v>
      </c>
      <c r="AW14" s="300">
        <v>11293.4</v>
      </c>
      <c r="AX14" s="13">
        <f t="shared" si="28"/>
        <v>3.000000000010914</v>
      </c>
      <c r="AY14" s="315">
        <v>2426.2</v>
      </c>
      <c r="AZ14" s="13">
        <f t="shared" si="29"/>
        <v>5.999999999994543</v>
      </c>
      <c r="BA14" s="318"/>
      <c r="BB14" s="266">
        <f t="shared" si="30"/>
        <v>0</v>
      </c>
      <c r="BC14" s="318"/>
      <c r="BD14" s="266">
        <f t="shared" si="31"/>
        <v>0</v>
      </c>
      <c r="BE14" s="318"/>
      <c r="BF14" s="266">
        <f t="shared" si="32"/>
        <v>0</v>
      </c>
      <c r="BG14" s="318"/>
      <c r="BH14" s="266">
        <f t="shared" si="33"/>
        <v>0</v>
      </c>
      <c r="BI14" s="318"/>
      <c r="BJ14" s="266">
        <f t="shared" si="34"/>
        <v>0</v>
      </c>
      <c r="BK14" s="318"/>
      <c r="BL14" s="266">
        <f t="shared" si="35"/>
        <v>0</v>
      </c>
      <c r="BN14" s="5">
        <v>7</v>
      </c>
      <c r="BO14" s="311">
        <v>8997</v>
      </c>
      <c r="BP14" s="232">
        <f t="shared" si="36"/>
        <v>0</v>
      </c>
      <c r="BQ14" s="311">
        <v>4673</v>
      </c>
      <c r="BR14" s="232">
        <f t="shared" si="37"/>
        <v>0</v>
      </c>
      <c r="BS14" s="312">
        <v>4651</v>
      </c>
      <c r="BT14" s="232">
        <f t="shared" si="38"/>
        <v>0</v>
      </c>
      <c r="BU14" s="313">
        <v>4619.7</v>
      </c>
      <c r="BV14" s="415">
        <f t="shared" si="39"/>
        <v>0</v>
      </c>
      <c r="BW14" s="49"/>
      <c r="BX14" s="425">
        <v>7</v>
      </c>
      <c r="BY14" s="417">
        <v>16498.8</v>
      </c>
      <c r="BZ14" s="14">
        <f t="shared" si="40"/>
        <v>0</v>
      </c>
      <c r="CA14" s="226">
        <v>6237.2</v>
      </c>
      <c r="CB14" s="13">
        <f t="shared" si="41"/>
        <v>0</v>
      </c>
      <c r="CC14" s="7">
        <v>18445.2</v>
      </c>
      <c r="CD14" s="13">
        <f t="shared" si="16"/>
        <v>4.0000000000873115</v>
      </c>
      <c r="CE14" s="322">
        <v>40308.7</v>
      </c>
      <c r="CF14" s="13">
        <f t="shared" si="42"/>
        <v>0</v>
      </c>
      <c r="CG14" s="227">
        <v>29441</v>
      </c>
      <c r="CH14" s="13">
        <f t="shared" si="17"/>
        <v>0</v>
      </c>
      <c r="CI14" s="475">
        <v>28257.557</v>
      </c>
      <c r="CJ14" s="13">
        <f t="shared" si="18"/>
        <v>8.070000000006985</v>
      </c>
      <c r="CK14" s="314">
        <v>75957</v>
      </c>
      <c r="CL14" s="13">
        <f t="shared" si="19"/>
        <v>0</v>
      </c>
      <c r="CM14" s="230"/>
      <c r="CN14" s="13">
        <f t="shared" si="20"/>
        <v>0</v>
      </c>
      <c r="CO14" s="230">
        <v>5888.151</v>
      </c>
      <c r="CP14" s="13">
        <f t="shared" si="43"/>
        <v>9.30000000003929</v>
      </c>
      <c r="CQ14" s="321"/>
      <c r="CR14" s="13">
        <f t="shared" si="21"/>
        <v>0</v>
      </c>
      <c r="CS14" s="436"/>
      <c r="CT14" s="437">
        <f t="shared" si="44"/>
        <v>0</v>
      </c>
      <c r="CU14" s="434"/>
      <c r="CV14" s="437">
        <f t="shared" si="44"/>
        <v>0</v>
      </c>
      <c r="CW14" s="436"/>
      <c r="CX14" s="437">
        <f t="shared" si="22"/>
        <v>0</v>
      </c>
    </row>
    <row r="15" spans="1:102" s="304" customFormat="1" ht="13.5" thickBot="1">
      <c r="A15" s="315">
        <v>8</v>
      </c>
      <c r="B15" s="323"/>
      <c r="C15" s="288">
        <f t="shared" si="23"/>
        <v>0</v>
      </c>
      <c r="D15" s="301"/>
      <c r="E15" s="288">
        <f t="shared" si="0"/>
        <v>0</v>
      </c>
      <c r="F15" s="154"/>
      <c r="G15" s="288">
        <f t="shared" si="1"/>
        <v>0</v>
      </c>
      <c r="H15" s="55"/>
      <c r="I15" s="288">
        <f t="shared" si="2"/>
        <v>0</v>
      </c>
      <c r="J15" s="154"/>
      <c r="K15" s="288">
        <f t="shared" si="3"/>
        <v>0</v>
      </c>
      <c r="L15" s="154"/>
      <c r="M15" s="288">
        <f t="shared" si="4"/>
        <v>0</v>
      </c>
      <c r="N15" s="290"/>
      <c r="O15" s="316">
        <v>8253.9</v>
      </c>
      <c r="P15" s="292">
        <f t="shared" si="24"/>
        <v>15.999999999985448</v>
      </c>
      <c r="Q15" s="302">
        <v>2660.4</v>
      </c>
      <c r="R15" s="333">
        <f t="shared" si="5"/>
        <v>3.999999999996362</v>
      </c>
      <c r="S15" s="338"/>
      <c r="T15" s="337">
        <f t="shared" si="6"/>
        <v>0</v>
      </c>
      <c r="U15" s="291"/>
      <c r="V15" s="333">
        <f t="shared" si="7"/>
        <v>0</v>
      </c>
      <c r="W15" s="338"/>
      <c r="X15" s="337">
        <f t="shared" si="8"/>
        <v>0</v>
      </c>
      <c r="Z15" s="317"/>
      <c r="AA15" s="448">
        <f t="shared" si="9"/>
        <v>0</v>
      </c>
      <c r="AB15" s="305">
        <v>6354.7</v>
      </c>
      <c r="AC15" s="288">
        <f t="shared" si="10"/>
        <v>0</v>
      </c>
      <c r="AD15" s="308">
        <v>3594.2</v>
      </c>
      <c r="AE15" s="288">
        <f t="shared" si="11"/>
        <v>0</v>
      </c>
      <c r="AF15" s="300">
        <v>4901.2</v>
      </c>
      <c r="AG15" s="13">
        <f t="shared" si="25"/>
        <v>0</v>
      </c>
      <c r="AH15" s="300">
        <v>5777.78</v>
      </c>
      <c r="AI15" s="13">
        <f t="shared" si="25"/>
        <v>2.1999999999934516</v>
      </c>
      <c r="AJ15" s="451"/>
      <c r="AK15" s="288">
        <f t="shared" si="26"/>
        <v>0</v>
      </c>
      <c r="AL15" s="301"/>
      <c r="AM15" s="288">
        <f t="shared" si="12"/>
        <v>0</v>
      </c>
      <c r="AN15" s="55"/>
      <c r="AO15" s="288">
        <f t="shared" si="13"/>
        <v>0</v>
      </c>
      <c r="AP15" s="154"/>
      <c r="AQ15" s="288">
        <f t="shared" si="14"/>
        <v>0</v>
      </c>
      <c r="AR15" s="154"/>
      <c r="AS15" s="288">
        <f t="shared" si="15"/>
        <v>0</v>
      </c>
      <c r="AT15" s="310"/>
      <c r="AU15" s="300">
        <v>13589</v>
      </c>
      <c r="AV15" s="13">
        <f t="shared" si="27"/>
        <v>3.000000000010914</v>
      </c>
      <c r="AW15" s="300">
        <v>11293.4</v>
      </c>
      <c r="AX15" s="13">
        <f t="shared" si="28"/>
        <v>0</v>
      </c>
      <c r="AY15" s="315">
        <v>2426.4</v>
      </c>
      <c r="AZ15" s="13">
        <f t="shared" si="29"/>
        <v>4.000000000005457</v>
      </c>
      <c r="BA15" s="318"/>
      <c r="BB15" s="266">
        <f t="shared" si="30"/>
        <v>0</v>
      </c>
      <c r="BC15" s="318"/>
      <c r="BD15" s="266">
        <f t="shared" si="31"/>
        <v>0</v>
      </c>
      <c r="BE15" s="318"/>
      <c r="BF15" s="266">
        <f t="shared" si="32"/>
        <v>0</v>
      </c>
      <c r="BG15" s="318"/>
      <c r="BH15" s="266">
        <f t="shared" si="33"/>
        <v>0</v>
      </c>
      <c r="BI15" s="318"/>
      <c r="BJ15" s="266">
        <f t="shared" si="34"/>
        <v>0</v>
      </c>
      <c r="BK15" s="318"/>
      <c r="BL15" s="266">
        <f t="shared" si="35"/>
        <v>0</v>
      </c>
      <c r="BN15" s="5">
        <v>8</v>
      </c>
      <c r="BO15" s="311">
        <v>8997</v>
      </c>
      <c r="BP15" s="232">
        <f t="shared" si="36"/>
        <v>0</v>
      </c>
      <c r="BQ15" s="311">
        <v>4673</v>
      </c>
      <c r="BR15" s="232">
        <f t="shared" si="37"/>
        <v>0</v>
      </c>
      <c r="BS15" s="312">
        <v>4651</v>
      </c>
      <c r="BT15" s="232">
        <f t="shared" si="38"/>
        <v>0</v>
      </c>
      <c r="BU15" s="313">
        <v>4619.7</v>
      </c>
      <c r="BV15" s="415">
        <f t="shared" si="39"/>
        <v>0</v>
      </c>
      <c r="BW15" s="49"/>
      <c r="BX15" s="425">
        <v>8</v>
      </c>
      <c r="BY15" s="417">
        <v>16499.8</v>
      </c>
      <c r="BZ15" s="14">
        <f t="shared" si="40"/>
        <v>20</v>
      </c>
      <c r="CA15" s="226">
        <v>6237.2</v>
      </c>
      <c r="CB15" s="13">
        <f t="shared" si="41"/>
        <v>0</v>
      </c>
      <c r="CC15" s="7">
        <v>18445.5</v>
      </c>
      <c r="CD15" s="13">
        <f t="shared" si="16"/>
        <v>11.999999999970896</v>
      </c>
      <c r="CE15" s="322">
        <v>40308.8</v>
      </c>
      <c r="CF15" s="13">
        <f t="shared" si="42"/>
        <v>0.10000000000582077</v>
      </c>
      <c r="CG15" s="227">
        <v>29441</v>
      </c>
      <c r="CH15" s="13">
        <f t="shared" si="17"/>
        <v>0</v>
      </c>
      <c r="CI15" s="475">
        <v>28257.9545</v>
      </c>
      <c r="CJ15" s="13">
        <f t="shared" si="18"/>
        <v>7.949999999982538</v>
      </c>
      <c r="CK15" s="314">
        <v>75957</v>
      </c>
      <c r="CL15" s="13">
        <f t="shared" si="19"/>
        <v>0</v>
      </c>
      <c r="CM15" s="230"/>
      <c r="CN15" s="13">
        <f t="shared" si="20"/>
        <v>0</v>
      </c>
      <c r="CO15" s="230">
        <v>5888.709</v>
      </c>
      <c r="CP15" s="13">
        <f t="shared" si="43"/>
        <v>33.47999999999956</v>
      </c>
      <c r="CQ15" s="319"/>
      <c r="CR15" s="13">
        <f t="shared" si="21"/>
        <v>0</v>
      </c>
      <c r="CS15" s="436"/>
      <c r="CT15" s="437">
        <f t="shared" si="44"/>
        <v>0</v>
      </c>
      <c r="CU15" s="434"/>
      <c r="CV15" s="437">
        <f t="shared" si="44"/>
        <v>0</v>
      </c>
      <c r="CW15" s="438"/>
      <c r="CX15" s="437">
        <f t="shared" si="22"/>
        <v>0</v>
      </c>
    </row>
    <row r="16" spans="1:102" s="304" customFormat="1" ht="13.5" thickBot="1">
      <c r="A16" s="315">
        <v>9</v>
      </c>
      <c r="B16" s="323"/>
      <c r="C16" s="288">
        <f t="shared" si="23"/>
        <v>0</v>
      </c>
      <c r="D16" s="301"/>
      <c r="E16" s="288">
        <f t="shared" si="0"/>
        <v>0</v>
      </c>
      <c r="F16" s="154"/>
      <c r="G16" s="288">
        <f t="shared" si="1"/>
        <v>0</v>
      </c>
      <c r="H16" s="55"/>
      <c r="I16" s="288">
        <f t="shared" si="2"/>
        <v>0</v>
      </c>
      <c r="J16" s="154"/>
      <c r="K16" s="288">
        <f t="shared" si="3"/>
        <v>0</v>
      </c>
      <c r="L16" s="154"/>
      <c r="M16" s="288">
        <f t="shared" si="4"/>
        <v>0</v>
      </c>
      <c r="N16" s="290"/>
      <c r="O16" s="316">
        <v>8254.2</v>
      </c>
      <c r="P16" s="292">
        <f t="shared" si="24"/>
        <v>12.000000000043656</v>
      </c>
      <c r="Q16" s="302">
        <v>2660.5</v>
      </c>
      <c r="R16" s="333">
        <f t="shared" si="5"/>
        <v>3.999999999996362</v>
      </c>
      <c r="S16" s="338"/>
      <c r="T16" s="337">
        <f t="shared" si="6"/>
        <v>0</v>
      </c>
      <c r="U16" s="291"/>
      <c r="V16" s="333">
        <f t="shared" si="7"/>
        <v>0</v>
      </c>
      <c r="W16" s="338"/>
      <c r="X16" s="337">
        <f t="shared" si="8"/>
        <v>0</v>
      </c>
      <c r="Z16" s="317"/>
      <c r="AA16" s="448">
        <f t="shared" si="9"/>
        <v>0</v>
      </c>
      <c r="AB16" s="305">
        <v>6354.8</v>
      </c>
      <c r="AC16" s="288">
        <f t="shared" si="10"/>
        <v>4.000000000014552</v>
      </c>
      <c r="AD16" s="308">
        <v>3594.3</v>
      </c>
      <c r="AE16" s="288">
        <f t="shared" si="11"/>
        <v>4.000000000014552</v>
      </c>
      <c r="AF16" s="300">
        <v>4901.2</v>
      </c>
      <c r="AG16" s="13">
        <f t="shared" si="25"/>
        <v>0</v>
      </c>
      <c r="AH16" s="300">
        <v>5777.85</v>
      </c>
      <c r="AI16" s="13">
        <f>(AH16-AH15)*20</f>
        <v>1.4000000000123691</v>
      </c>
      <c r="AJ16" s="451"/>
      <c r="AK16" s="288">
        <f t="shared" si="26"/>
        <v>0</v>
      </c>
      <c r="AL16" s="301"/>
      <c r="AM16" s="288">
        <f t="shared" si="12"/>
        <v>0</v>
      </c>
      <c r="AN16" s="55"/>
      <c r="AO16" s="288">
        <f t="shared" si="13"/>
        <v>0</v>
      </c>
      <c r="AP16" s="154"/>
      <c r="AQ16" s="288">
        <f t="shared" si="14"/>
        <v>0</v>
      </c>
      <c r="AR16" s="154"/>
      <c r="AS16" s="288">
        <f t="shared" si="15"/>
        <v>0</v>
      </c>
      <c r="AT16" s="310"/>
      <c r="AU16" s="300">
        <v>13589.4</v>
      </c>
      <c r="AV16" s="13">
        <f t="shared" si="27"/>
        <v>5.999999999994543</v>
      </c>
      <c r="AW16" s="300">
        <v>11293.6</v>
      </c>
      <c r="AX16" s="13">
        <f t="shared" si="28"/>
        <v>6.000000000021828</v>
      </c>
      <c r="AY16" s="324">
        <v>2426.8</v>
      </c>
      <c r="AZ16" s="13">
        <f t="shared" si="29"/>
        <v>8.000000000001819</v>
      </c>
      <c r="BA16" s="318"/>
      <c r="BB16" s="266">
        <f t="shared" si="30"/>
        <v>0</v>
      </c>
      <c r="BC16" s="318"/>
      <c r="BD16" s="266">
        <f t="shared" si="31"/>
        <v>0</v>
      </c>
      <c r="BE16" s="318"/>
      <c r="BF16" s="266">
        <f t="shared" si="32"/>
        <v>0</v>
      </c>
      <c r="BG16" s="318"/>
      <c r="BH16" s="266">
        <f t="shared" si="33"/>
        <v>0</v>
      </c>
      <c r="BI16" s="318"/>
      <c r="BJ16" s="266">
        <f t="shared" si="34"/>
        <v>0</v>
      </c>
      <c r="BK16" s="318"/>
      <c r="BL16" s="266">
        <f t="shared" si="35"/>
        <v>0</v>
      </c>
      <c r="BN16" s="5">
        <v>9</v>
      </c>
      <c r="BO16" s="311">
        <v>8997</v>
      </c>
      <c r="BP16" s="232">
        <f t="shared" si="36"/>
        <v>0</v>
      </c>
      <c r="BQ16" s="311">
        <v>4673</v>
      </c>
      <c r="BR16" s="232">
        <f t="shared" si="37"/>
        <v>0</v>
      </c>
      <c r="BS16" s="312">
        <v>4651</v>
      </c>
      <c r="BT16" s="232">
        <f t="shared" si="38"/>
        <v>0</v>
      </c>
      <c r="BU16" s="313">
        <v>4619.7</v>
      </c>
      <c r="BV16" s="415">
        <f t="shared" si="39"/>
        <v>0</v>
      </c>
      <c r="BW16" s="49"/>
      <c r="BX16" s="425">
        <v>9</v>
      </c>
      <c r="BY16" s="417">
        <v>16499.8</v>
      </c>
      <c r="BZ16" s="14">
        <f t="shared" si="40"/>
        <v>0</v>
      </c>
      <c r="CA16" s="226">
        <v>6237.2</v>
      </c>
      <c r="CB16" s="13">
        <f t="shared" si="41"/>
        <v>0</v>
      </c>
      <c r="CC16" s="7">
        <v>18445.6</v>
      </c>
      <c r="CD16" s="13">
        <f t="shared" si="16"/>
        <v>3.9999999999417923</v>
      </c>
      <c r="CE16" s="322">
        <v>40308.8</v>
      </c>
      <c r="CF16" s="13">
        <f t="shared" si="42"/>
        <v>0</v>
      </c>
      <c r="CG16" s="227">
        <v>29442</v>
      </c>
      <c r="CH16" s="13">
        <f t="shared" si="17"/>
        <v>80</v>
      </c>
      <c r="CI16" s="321">
        <v>28258.474000000002</v>
      </c>
      <c r="CJ16" s="13">
        <f t="shared" si="18"/>
        <v>10.390000000043074</v>
      </c>
      <c r="CK16" s="319">
        <v>75959</v>
      </c>
      <c r="CL16" s="13">
        <f t="shared" si="19"/>
        <v>2</v>
      </c>
      <c r="CM16" s="230"/>
      <c r="CN16" s="13">
        <f t="shared" si="20"/>
        <v>0</v>
      </c>
      <c r="CO16" s="230">
        <v>5889.17</v>
      </c>
      <c r="CP16" s="13">
        <f t="shared" si="43"/>
        <v>27.660000000014406</v>
      </c>
      <c r="CQ16" s="319"/>
      <c r="CR16" s="13">
        <f>(CQ16-CQ15)*1</f>
        <v>0</v>
      </c>
      <c r="CS16" s="436"/>
      <c r="CT16" s="437">
        <f t="shared" si="44"/>
        <v>0</v>
      </c>
      <c r="CU16" s="434"/>
      <c r="CV16" s="437">
        <f t="shared" si="44"/>
        <v>0</v>
      </c>
      <c r="CW16" s="438"/>
      <c r="CX16" s="437">
        <f>(CW16-CW15)*1</f>
        <v>0</v>
      </c>
    </row>
    <row r="17" spans="1:102" s="304" customFormat="1" ht="13.5" thickBot="1">
      <c r="A17" s="315">
        <v>10</v>
      </c>
      <c r="B17" s="323"/>
      <c r="C17" s="288">
        <f t="shared" si="23"/>
        <v>0</v>
      </c>
      <c r="D17" s="301"/>
      <c r="E17" s="288">
        <f t="shared" si="0"/>
        <v>0</v>
      </c>
      <c r="F17" s="154"/>
      <c r="G17" s="288">
        <f t="shared" si="1"/>
        <v>0</v>
      </c>
      <c r="H17" s="55"/>
      <c r="I17" s="288">
        <f t="shared" si="2"/>
        <v>0</v>
      </c>
      <c r="J17" s="154"/>
      <c r="K17" s="288">
        <f t="shared" si="3"/>
        <v>0</v>
      </c>
      <c r="L17" s="154"/>
      <c r="M17" s="288">
        <f t="shared" si="4"/>
        <v>0</v>
      </c>
      <c r="N17" s="290"/>
      <c r="O17" s="316">
        <v>8254.6</v>
      </c>
      <c r="P17" s="292">
        <f t="shared" si="24"/>
        <v>15.999999999985448</v>
      </c>
      <c r="Q17" s="302">
        <v>2660.6</v>
      </c>
      <c r="R17" s="333">
        <f t="shared" si="5"/>
        <v>3.999999999996362</v>
      </c>
      <c r="S17" s="338"/>
      <c r="T17" s="337">
        <f t="shared" si="6"/>
        <v>0</v>
      </c>
      <c r="U17" s="291"/>
      <c r="V17" s="333">
        <f t="shared" si="7"/>
        <v>0</v>
      </c>
      <c r="W17" s="338"/>
      <c r="X17" s="337">
        <f t="shared" si="8"/>
        <v>0</v>
      </c>
      <c r="Z17" s="317"/>
      <c r="AA17" s="448">
        <f t="shared" si="9"/>
        <v>0</v>
      </c>
      <c r="AB17" s="305">
        <v>6354.8</v>
      </c>
      <c r="AC17" s="288">
        <f t="shared" si="10"/>
        <v>0</v>
      </c>
      <c r="AD17" s="308">
        <v>3594.3</v>
      </c>
      <c r="AE17" s="288">
        <f t="shared" si="11"/>
        <v>0</v>
      </c>
      <c r="AF17" s="300">
        <v>4901.3</v>
      </c>
      <c r="AG17" s="13">
        <f t="shared" si="25"/>
        <v>2.000000000007276</v>
      </c>
      <c r="AH17" s="300">
        <v>5778.1</v>
      </c>
      <c r="AI17" s="13">
        <f>(AH17-AH16)*20</f>
        <v>5</v>
      </c>
      <c r="AJ17" s="451"/>
      <c r="AK17" s="288">
        <f t="shared" si="26"/>
        <v>0</v>
      </c>
      <c r="AL17" s="301"/>
      <c r="AM17" s="288">
        <f t="shared" si="12"/>
        <v>0</v>
      </c>
      <c r="AN17" s="55"/>
      <c r="AO17" s="288">
        <f t="shared" si="13"/>
        <v>0</v>
      </c>
      <c r="AP17" s="154"/>
      <c r="AQ17" s="288">
        <f t="shared" si="14"/>
        <v>0</v>
      </c>
      <c r="AR17" s="154"/>
      <c r="AS17" s="288">
        <f t="shared" si="15"/>
        <v>0</v>
      </c>
      <c r="AT17" s="310"/>
      <c r="AU17" s="300">
        <v>13589.7</v>
      </c>
      <c r="AV17" s="13">
        <f t="shared" si="27"/>
        <v>4.500000000016371</v>
      </c>
      <c r="AW17" s="315">
        <v>11293.8</v>
      </c>
      <c r="AX17" s="13">
        <f t="shared" si="28"/>
        <v>5.999999999967258</v>
      </c>
      <c r="AY17" s="315">
        <v>2427.2</v>
      </c>
      <c r="AZ17" s="13">
        <f t="shared" si="29"/>
        <v>7.999999999992724</v>
      </c>
      <c r="BA17" s="318"/>
      <c r="BB17" s="266">
        <f t="shared" si="30"/>
        <v>0</v>
      </c>
      <c r="BC17" s="318"/>
      <c r="BD17" s="266">
        <f t="shared" si="31"/>
        <v>0</v>
      </c>
      <c r="BE17" s="318"/>
      <c r="BF17" s="266">
        <f t="shared" si="32"/>
        <v>0</v>
      </c>
      <c r="BG17" s="318"/>
      <c r="BH17" s="266">
        <f t="shared" si="33"/>
        <v>0</v>
      </c>
      <c r="BI17" s="318"/>
      <c r="BJ17" s="266">
        <f t="shared" si="34"/>
        <v>0</v>
      </c>
      <c r="BK17" s="318"/>
      <c r="BL17" s="266">
        <f t="shared" si="35"/>
        <v>0</v>
      </c>
      <c r="BN17" s="5">
        <v>10</v>
      </c>
      <c r="BO17" s="311">
        <v>8997</v>
      </c>
      <c r="BP17" s="232">
        <f t="shared" si="36"/>
        <v>0</v>
      </c>
      <c r="BQ17" s="311">
        <v>4673</v>
      </c>
      <c r="BR17" s="232">
        <f t="shared" si="37"/>
        <v>0</v>
      </c>
      <c r="BS17" s="312">
        <v>4651</v>
      </c>
      <c r="BT17" s="232">
        <f t="shared" si="38"/>
        <v>0</v>
      </c>
      <c r="BU17" s="313">
        <v>4619.7</v>
      </c>
      <c r="BV17" s="415">
        <f t="shared" si="39"/>
        <v>0</v>
      </c>
      <c r="BW17" s="49"/>
      <c r="BX17" s="425">
        <v>10</v>
      </c>
      <c r="BY17" s="417">
        <v>16500.8</v>
      </c>
      <c r="BZ17" s="14">
        <f t="shared" si="40"/>
        <v>20</v>
      </c>
      <c r="CA17" s="226">
        <v>6237.2</v>
      </c>
      <c r="CB17" s="13">
        <f t="shared" si="41"/>
        <v>0</v>
      </c>
      <c r="CC17" s="7">
        <v>18445.8</v>
      </c>
      <c r="CD17" s="13">
        <f t="shared" si="16"/>
        <v>8.000000000029104</v>
      </c>
      <c r="CE17" s="322">
        <v>40321.5</v>
      </c>
      <c r="CF17" s="13">
        <f t="shared" si="42"/>
        <v>12.69999999999709</v>
      </c>
      <c r="CG17" s="227">
        <v>29443</v>
      </c>
      <c r="CH17" s="13">
        <f t="shared" si="17"/>
        <v>80</v>
      </c>
      <c r="CI17" s="321">
        <v>28259.033499999998</v>
      </c>
      <c r="CJ17" s="13">
        <f t="shared" si="18"/>
        <v>11.189999999915017</v>
      </c>
      <c r="CK17" s="319">
        <v>75961</v>
      </c>
      <c r="CL17" s="13">
        <f t="shared" si="19"/>
        <v>2</v>
      </c>
      <c r="CM17" s="230"/>
      <c r="CN17" s="13">
        <f t="shared" si="20"/>
        <v>0</v>
      </c>
      <c r="CO17" s="230">
        <v>5889.509</v>
      </c>
      <c r="CP17" s="13">
        <f t="shared" si="43"/>
        <v>20.339999999996508</v>
      </c>
      <c r="CQ17" s="319"/>
      <c r="CR17" s="13">
        <f aca="true" t="shared" si="45" ref="CR17:CR33">(CQ17-CQ16)*1</f>
        <v>0</v>
      </c>
      <c r="CS17" s="436"/>
      <c r="CT17" s="437">
        <f t="shared" si="44"/>
        <v>0</v>
      </c>
      <c r="CU17" s="434"/>
      <c r="CV17" s="437">
        <f t="shared" si="44"/>
        <v>0</v>
      </c>
      <c r="CW17" s="438"/>
      <c r="CX17" s="437">
        <f aca="true" t="shared" si="46" ref="CX17:CX33">(CW17-CW16)*1</f>
        <v>0</v>
      </c>
    </row>
    <row r="18" spans="1:102" s="304" customFormat="1" ht="13.5" thickBot="1">
      <c r="A18" s="315">
        <v>11</v>
      </c>
      <c r="B18" s="323"/>
      <c r="C18" s="288">
        <f t="shared" si="23"/>
        <v>0</v>
      </c>
      <c r="D18" s="301"/>
      <c r="E18" s="288">
        <f t="shared" si="0"/>
        <v>0</v>
      </c>
      <c r="F18" s="154"/>
      <c r="G18" s="288">
        <f t="shared" si="1"/>
        <v>0</v>
      </c>
      <c r="H18" s="55"/>
      <c r="I18" s="288">
        <f t="shared" si="2"/>
        <v>0</v>
      </c>
      <c r="J18" s="154"/>
      <c r="K18" s="288">
        <f t="shared" si="3"/>
        <v>0</v>
      </c>
      <c r="L18" s="154"/>
      <c r="M18" s="288">
        <f>(L18-L17)*1</f>
        <v>0</v>
      </c>
      <c r="N18" s="290"/>
      <c r="O18" s="316">
        <v>8255</v>
      </c>
      <c r="P18" s="292">
        <f t="shared" si="24"/>
        <v>15.999999999985448</v>
      </c>
      <c r="Q18" s="302">
        <v>2660.6</v>
      </c>
      <c r="R18" s="333">
        <f t="shared" si="5"/>
        <v>0</v>
      </c>
      <c r="S18" s="338"/>
      <c r="T18" s="337">
        <f t="shared" si="6"/>
        <v>0</v>
      </c>
      <c r="U18" s="291"/>
      <c r="V18" s="333">
        <f t="shared" si="7"/>
        <v>0</v>
      </c>
      <c r="W18" s="338"/>
      <c r="X18" s="337">
        <f t="shared" si="8"/>
        <v>0</v>
      </c>
      <c r="Z18" s="308"/>
      <c r="AA18" s="288">
        <f t="shared" si="9"/>
        <v>0</v>
      </c>
      <c r="AB18" s="305">
        <v>6354.9</v>
      </c>
      <c r="AC18" s="288">
        <f t="shared" si="10"/>
        <v>3.999999999978172</v>
      </c>
      <c r="AD18" s="308">
        <v>3594.4</v>
      </c>
      <c r="AE18" s="288">
        <f t="shared" si="11"/>
        <v>3.999999999996362</v>
      </c>
      <c r="AF18" s="300">
        <v>4901.3</v>
      </c>
      <c r="AG18" s="13">
        <f t="shared" si="25"/>
        <v>0</v>
      </c>
      <c r="AH18" s="315">
        <v>5778.65</v>
      </c>
      <c r="AI18" s="13">
        <f>(AH18-AH17)*20</f>
        <v>10.999999999985448</v>
      </c>
      <c r="AJ18" s="451"/>
      <c r="AK18" s="288">
        <f t="shared" si="26"/>
        <v>0</v>
      </c>
      <c r="AL18" s="301"/>
      <c r="AM18" s="288">
        <f t="shared" si="12"/>
        <v>0</v>
      </c>
      <c r="AN18" s="55"/>
      <c r="AO18" s="288">
        <f t="shared" si="13"/>
        <v>0</v>
      </c>
      <c r="AP18" s="154"/>
      <c r="AQ18" s="288">
        <f t="shared" si="14"/>
        <v>0</v>
      </c>
      <c r="AR18" s="154"/>
      <c r="AS18" s="288">
        <f t="shared" si="15"/>
        <v>0</v>
      </c>
      <c r="AT18" s="310"/>
      <c r="AU18" s="300">
        <v>13589.9</v>
      </c>
      <c r="AV18" s="13">
        <f t="shared" si="27"/>
        <v>2.999999999983629</v>
      </c>
      <c r="AW18" s="315">
        <v>11293.9</v>
      </c>
      <c r="AX18" s="13">
        <f t="shared" si="28"/>
        <v>3.000000000010914</v>
      </c>
      <c r="AY18" s="315">
        <v>2427.5</v>
      </c>
      <c r="AZ18" s="13">
        <f t="shared" si="29"/>
        <v>6.000000000003638</v>
      </c>
      <c r="BA18" s="318"/>
      <c r="BB18" s="266">
        <f t="shared" si="30"/>
        <v>0</v>
      </c>
      <c r="BC18" s="318"/>
      <c r="BD18" s="266">
        <f t="shared" si="31"/>
        <v>0</v>
      </c>
      <c r="BE18" s="318"/>
      <c r="BF18" s="266">
        <f t="shared" si="32"/>
        <v>0</v>
      </c>
      <c r="BG18" s="318"/>
      <c r="BH18" s="266">
        <f t="shared" si="33"/>
        <v>0</v>
      </c>
      <c r="BI18" s="318"/>
      <c r="BJ18" s="266">
        <f t="shared" si="34"/>
        <v>0</v>
      </c>
      <c r="BK18" s="318"/>
      <c r="BL18" s="266">
        <f t="shared" si="35"/>
        <v>0</v>
      </c>
      <c r="BN18" s="5">
        <v>11</v>
      </c>
      <c r="BO18" s="311">
        <v>8997</v>
      </c>
      <c r="BP18" s="232">
        <f t="shared" si="36"/>
        <v>0</v>
      </c>
      <c r="BQ18" s="311">
        <v>4673</v>
      </c>
      <c r="BR18" s="232">
        <f t="shared" si="37"/>
        <v>0</v>
      </c>
      <c r="BS18" s="312">
        <v>4651</v>
      </c>
      <c r="BT18" s="232">
        <f t="shared" si="38"/>
        <v>0</v>
      </c>
      <c r="BU18" s="313">
        <v>4619.7</v>
      </c>
      <c r="BV18" s="415">
        <f t="shared" si="39"/>
        <v>0</v>
      </c>
      <c r="BW18" s="49"/>
      <c r="BX18" s="425">
        <v>11</v>
      </c>
      <c r="BY18" s="417">
        <v>16501.8</v>
      </c>
      <c r="BZ18" s="14">
        <f t="shared" si="40"/>
        <v>20</v>
      </c>
      <c r="CA18" s="226">
        <v>6238.2</v>
      </c>
      <c r="CB18" s="13">
        <f t="shared" si="41"/>
        <v>20</v>
      </c>
      <c r="CC18" s="7">
        <v>18446</v>
      </c>
      <c r="CD18" s="13">
        <f t="shared" si="16"/>
        <v>8.000000000029104</v>
      </c>
      <c r="CE18" s="322">
        <v>40322.6</v>
      </c>
      <c r="CF18" s="13">
        <f t="shared" si="42"/>
        <v>1.0999999999985448</v>
      </c>
      <c r="CG18" s="227">
        <v>29444</v>
      </c>
      <c r="CH18" s="13">
        <f t="shared" si="17"/>
        <v>80</v>
      </c>
      <c r="CI18" s="321">
        <v>28259.6345</v>
      </c>
      <c r="CJ18" s="13">
        <f t="shared" si="18"/>
        <v>12.02000000004773</v>
      </c>
      <c r="CK18" s="319">
        <v>75965</v>
      </c>
      <c r="CL18" s="13">
        <f t="shared" si="19"/>
        <v>4</v>
      </c>
      <c r="CM18" s="230"/>
      <c r="CN18" s="13">
        <f t="shared" si="20"/>
        <v>0</v>
      </c>
      <c r="CO18" s="230">
        <v>5889.992</v>
      </c>
      <c r="CP18" s="13">
        <f t="shared" si="43"/>
        <v>28.980000000010477</v>
      </c>
      <c r="CQ18" s="319"/>
      <c r="CR18" s="13">
        <f t="shared" si="45"/>
        <v>0</v>
      </c>
      <c r="CS18" s="436"/>
      <c r="CT18" s="437">
        <f t="shared" si="44"/>
        <v>0</v>
      </c>
      <c r="CU18" s="434"/>
      <c r="CV18" s="437">
        <f t="shared" si="44"/>
        <v>0</v>
      </c>
      <c r="CW18" s="438"/>
      <c r="CX18" s="437">
        <f t="shared" si="46"/>
        <v>0</v>
      </c>
    </row>
    <row r="19" spans="1:102" s="304" customFormat="1" ht="13.5" thickBot="1">
      <c r="A19" s="315">
        <v>12</v>
      </c>
      <c r="B19" s="323"/>
      <c r="C19" s="288">
        <f t="shared" si="23"/>
        <v>0</v>
      </c>
      <c r="D19" s="301"/>
      <c r="E19" s="288">
        <f t="shared" si="0"/>
        <v>0</v>
      </c>
      <c r="F19" s="154"/>
      <c r="G19" s="288">
        <f t="shared" si="1"/>
        <v>0</v>
      </c>
      <c r="H19" s="55"/>
      <c r="I19" s="288">
        <f t="shared" si="2"/>
        <v>0</v>
      </c>
      <c r="J19" s="154"/>
      <c r="K19" s="288">
        <f t="shared" si="3"/>
        <v>0</v>
      </c>
      <c r="L19" s="154"/>
      <c r="M19" s="288">
        <f t="shared" si="4"/>
        <v>0</v>
      </c>
      <c r="N19" s="290"/>
      <c r="O19" s="316">
        <v>8255.2</v>
      </c>
      <c r="P19" s="292">
        <f t="shared" si="24"/>
        <v>8.000000000029104</v>
      </c>
      <c r="Q19" s="302">
        <v>2660.7</v>
      </c>
      <c r="R19" s="333">
        <f t="shared" si="5"/>
        <v>3.999999999996362</v>
      </c>
      <c r="S19" s="338"/>
      <c r="T19" s="337">
        <f t="shared" si="6"/>
        <v>0</v>
      </c>
      <c r="U19" s="291"/>
      <c r="V19" s="333">
        <f t="shared" si="7"/>
        <v>0</v>
      </c>
      <c r="W19" s="338"/>
      <c r="X19" s="337">
        <f t="shared" si="8"/>
        <v>0</v>
      </c>
      <c r="Z19" s="317"/>
      <c r="AA19" s="288">
        <f t="shared" si="9"/>
        <v>0</v>
      </c>
      <c r="AB19" s="305">
        <v>6355</v>
      </c>
      <c r="AC19" s="288">
        <f t="shared" si="10"/>
        <v>4.000000000014552</v>
      </c>
      <c r="AD19" s="308">
        <v>3594.4</v>
      </c>
      <c r="AE19" s="288">
        <f t="shared" si="11"/>
        <v>0</v>
      </c>
      <c r="AF19" s="457">
        <v>4901.4</v>
      </c>
      <c r="AG19" s="13">
        <f t="shared" si="25"/>
        <v>1.999999999989086</v>
      </c>
      <c r="AH19" s="315">
        <v>5778.94</v>
      </c>
      <c r="AI19" s="13">
        <f t="shared" si="25"/>
        <v>5.799999999999272</v>
      </c>
      <c r="AJ19" s="451"/>
      <c r="AK19" s="288">
        <f t="shared" si="26"/>
        <v>0</v>
      </c>
      <c r="AL19" s="301"/>
      <c r="AM19" s="288">
        <f t="shared" si="12"/>
        <v>0</v>
      </c>
      <c r="AN19" s="55"/>
      <c r="AO19" s="288">
        <f t="shared" si="13"/>
        <v>0</v>
      </c>
      <c r="AP19" s="154"/>
      <c r="AQ19" s="288">
        <f t="shared" si="14"/>
        <v>0</v>
      </c>
      <c r="AR19" s="154"/>
      <c r="AS19" s="288">
        <f t="shared" si="15"/>
        <v>0</v>
      </c>
      <c r="AT19" s="310"/>
      <c r="AU19" s="300">
        <v>13590.4</v>
      </c>
      <c r="AV19" s="13">
        <f t="shared" si="27"/>
        <v>7.5</v>
      </c>
      <c r="AW19" s="315">
        <v>11294.1</v>
      </c>
      <c r="AX19" s="13">
        <f t="shared" si="28"/>
        <v>6.000000000021828</v>
      </c>
      <c r="AY19" s="315">
        <v>2427.7</v>
      </c>
      <c r="AZ19" s="13">
        <f t="shared" si="29"/>
        <v>3.999999999996362</v>
      </c>
      <c r="BA19" s="318"/>
      <c r="BB19" s="266">
        <f t="shared" si="30"/>
        <v>0</v>
      </c>
      <c r="BC19" s="318"/>
      <c r="BD19" s="266">
        <f t="shared" si="31"/>
        <v>0</v>
      </c>
      <c r="BE19" s="318"/>
      <c r="BF19" s="266">
        <f t="shared" si="32"/>
        <v>0</v>
      </c>
      <c r="BG19" s="318"/>
      <c r="BH19" s="266">
        <f t="shared" si="33"/>
        <v>0</v>
      </c>
      <c r="BI19" s="318"/>
      <c r="BJ19" s="266">
        <f t="shared" si="34"/>
        <v>0</v>
      </c>
      <c r="BK19" s="318"/>
      <c r="BL19" s="266">
        <f t="shared" si="35"/>
        <v>0</v>
      </c>
      <c r="BN19" s="5">
        <v>12</v>
      </c>
      <c r="BO19" s="311">
        <v>8997</v>
      </c>
      <c r="BP19" s="232">
        <f t="shared" si="36"/>
        <v>0</v>
      </c>
      <c r="BQ19" s="311">
        <v>4673</v>
      </c>
      <c r="BR19" s="232">
        <f t="shared" si="37"/>
        <v>0</v>
      </c>
      <c r="BS19" s="312">
        <v>4651</v>
      </c>
      <c r="BT19" s="232">
        <f t="shared" si="38"/>
        <v>0</v>
      </c>
      <c r="BU19" s="313">
        <v>4619.7</v>
      </c>
      <c r="BV19" s="415">
        <f t="shared" si="39"/>
        <v>0</v>
      </c>
      <c r="BW19" s="49"/>
      <c r="BX19" s="425">
        <v>12</v>
      </c>
      <c r="BY19" s="417">
        <v>16502.8</v>
      </c>
      <c r="BZ19" s="14">
        <f t="shared" si="40"/>
        <v>20</v>
      </c>
      <c r="CA19" s="226">
        <v>6238.2</v>
      </c>
      <c r="CB19" s="13">
        <f t="shared" si="41"/>
        <v>0</v>
      </c>
      <c r="CC19" s="7">
        <v>18446.1</v>
      </c>
      <c r="CD19" s="13">
        <f t="shared" si="16"/>
        <v>3.9999999999417923</v>
      </c>
      <c r="CE19" s="322">
        <v>40323.8</v>
      </c>
      <c r="CF19" s="13">
        <f t="shared" si="42"/>
        <v>1.2000000000043656</v>
      </c>
      <c r="CG19" s="227">
        <v>29444</v>
      </c>
      <c r="CH19" s="13">
        <f t="shared" si="17"/>
        <v>0</v>
      </c>
      <c r="CI19" s="321">
        <v>28260.156</v>
      </c>
      <c r="CJ19" s="13">
        <f t="shared" si="18"/>
        <v>10.429999999978463</v>
      </c>
      <c r="CK19" s="319">
        <v>75967</v>
      </c>
      <c r="CL19" s="13">
        <f t="shared" si="19"/>
        <v>2</v>
      </c>
      <c r="CM19" s="230"/>
      <c r="CN19" s="13">
        <f t="shared" si="20"/>
        <v>0</v>
      </c>
      <c r="CO19" s="230">
        <v>5890.316000000001</v>
      </c>
      <c r="CP19" s="13">
        <f t="shared" si="43"/>
        <v>19.440000000031432</v>
      </c>
      <c r="CQ19" s="319"/>
      <c r="CR19" s="13">
        <f t="shared" si="45"/>
        <v>0</v>
      </c>
      <c r="CS19" s="436"/>
      <c r="CT19" s="437">
        <f t="shared" si="44"/>
        <v>0</v>
      </c>
      <c r="CU19" s="434"/>
      <c r="CV19" s="437">
        <f t="shared" si="44"/>
        <v>0</v>
      </c>
      <c r="CW19" s="438"/>
      <c r="CX19" s="437">
        <f t="shared" si="46"/>
        <v>0</v>
      </c>
    </row>
    <row r="20" spans="1:102" s="304" customFormat="1" ht="13.5" thickBot="1">
      <c r="A20" s="315">
        <v>13</v>
      </c>
      <c r="B20" s="323"/>
      <c r="C20" s="288">
        <f t="shared" si="23"/>
        <v>0</v>
      </c>
      <c r="D20" s="301"/>
      <c r="E20" s="288">
        <f t="shared" si="0"/>
        <v>0</v>
      </c>
      <c r="F20" s="154"/>
      <c r="G20" s="288">
        <f t="shared" si="1"/>
        <v>0</v>
      </c>
      <c r="H20" s="55"/>
      <c r="I20" s="288">
        <f t="shared" si="2"/>
        <v>0</v>
      </c>
      <c r="J20" s="154"/>
      <c r="K20" s="288">
        <f t="shared" si="3"/>
        <v>0</v>
      </c>
      <c r="L20" s="154"/>
      <c r="M20" s="288">
        <f t="shared" si="4"/>
        <v>0</v>
      </c>
      <c r="N20" s="290"/>
      <c r="O20" s="316">
        <v>8255.4</v>
      </c>
      <c r="P20" s="292">
        <f t="shared" si="24"/>
        <v>7.999999999956344</v>
      </c>
      <c r="Q20" s="302">
        <v>2660.8</v>
      </c>
      <c r="R20" s="333">
        <f t="shared" si="5"/>
        <v>4.000000000014552</v>
      </c>
      <c r="S20" s="338"/>
      <c r="T20" s="337">
        <f t="shared" si="6"/>
        <v>0</v>
      </c>
      <c r="U20" s="291"/>
      <c r="V20" s="333">
        <f t="shared" si="7"/>
        <v>0</v>
      </c>
      <c r="W20" s="338"/>
      <c r="X20" s="337">
        <f t="shared" si="8"/>
        <v>0</v>
      </c>
      <c r="Z20" s="317"/>
      <c r="AA20" s="288">
        <f t="shared" si="9"/>
        <v>0</v>
      </c>
      <c r="AB20" s="305">
        <v>6355.1</v>
      </c>
      <c r="AC20" s="288">
        <f t="shared" si="10"/>
        <v>4.000000000014552</v>
      </c>
      <c r="AD20" s="308">
        <v>3594.5</v>
      </c>
      <c r="AE20" s="288">
        <f t="shared" si="11"/>
        <v>3.999999999996362</v>
      </c>
      <c r="AF20" s="457">
        <v>4901.5</v>
      </c>
      <c r="AG20" s="13">
        <f t="shared" si="25"/>
        <v>2.000000000007276</v>
      </c>
      <c r="AH20" s="315">
        <v>5779</v>
      </c>
      <c r="AI20" s="13">
        <f t="shared" si="25"/>
        <v>1.2000000000080036</v>
      </c>
      <c r="AJ20" s="451"/>
      <c r="AK20" s="288">
        <f t="shared" si="26"/>
        <v>0</v>
      </c>
      <c r="AL20" s="301"/>
      <c r="AM20" s="288">
        <f t="shared" si="12"/>
        <v>0</v>
      </c>
      <c r="AN20" s="55"/>
      <c r="AO20" s="288">
        <f t="shared" si="13"/>
        <v>0</v>
      </c>
      <c r="AP20" s="154"/>
      <c r="AQ20" s="288">
        <f t="shared" si="14"/>
        <v>0</v>
      </c>
      <c r="AR20" s="154"/>
      <c r="AS20" s="288">
        <f t="shared" si="15"/>
        <v>0</v>
      </c>
      <c r="AT20" s="310"/>
      <c r="AU20" s="300">
        <v>13590.7</v>
      </c>
      <c r="AV20" s="13">
        <f t="shared" si="27"/>
        <v>4.500000000016371</v>
      </c>
      <c r="AW20" s="315">
        <v>11294.9</v>
      </c>
      <c r="AX20" s="13">
        <f t="shared" si="28"/>
        <v>23.999999999978172</v>
      </c>
      <c r="AY20" s="315">
        <v>2427.9</v>
      </c>
      <c r="AZ20" s="13">
        <f t="shared" si="29"/>
        <v>4.000000000005457</v>
      </c>
      <c r="BA20" s="318"/>
      <c r="BB20" s="266">
        <f t="shared" si="30"/>
        <v>0</v>
      </c>
      <c r="BC20" s="318"/>
      <c r="BD20" s="266">
        <f t="shared" si="31"/>
        <v>0</v>
      </c>
      <c r="BE20" s="318"/>
      <c r="BF20" s="266">
        <f t="shared" si="32"/>
        <v>0</v>
      </c>
      <c r="BG20" s="318"/>
      <c r="BH20" s="266">
        <f t="shared" si="33"/>
        <v>0</v>
      </c>
      <c r="BI20" s="318"/>
      <c r="BJ20" s="266">
        <f t="shared" si="34"/>
        <v>0</v>
      </c>
      <c r="BK20" s="318"/>
      <c r="BL20" s="266">
        <f t="shared" si="35"/>
        <v>0</v>
      </c>
      <c r="BN20" s="5">
        <v>13</v>
      </c>
      <c r="BO20" s="311">
        <v>8997</v>
      </c>
      <c r="BP20" s="232">
        <f t="shared" si="36"/>
        <v>0</v>
      </c>
      <c r="BQ20" s="311">
        <v>4673</v>
      </c>
      <c r="BR20" s="232">
        <f t="shared" si="37"/>
        <v>0</v>
      </c>
      <c r="BS20" s="312">
        <v>4651</v>
      </c>
      <c r="BT20" s="232">
        <f t="shared" si="38"/>
        <v>0</v>
      </c>
      <c r="BU20" s="313">
        <v>4619.7</v>
      </c>
      <c r="BV20" s="415">
        <f t="shared" si="39"/>
        <v>0</v>
      </c>
      <c r="BW20" s="49"/>
      <c r="BX20" s="425">
        <v>13</v>
      </c>
      <c r="BY20" s="417">
        <v>16503.8</v>
      </c>
      <c r="BZ20" s="14">
        <f t="shared" si="40"/>
        <v>20</v>
      </c>
      <c r="CA20" s="226">
        <v>6238.2</v>
      </c>
      <c r="CB20" s="13">
        <f t="shared" si="41"/>
        <v>0</v>
      </c>
      <c r="CC20" s="7">
        <v>18446.3</v>
      </c>
      <c r="CD20" s="13">
        <f t="shared" si="16"/>
        <v>8.000000000029104</v>
      </c>
      <c r="CE20" s="322">
        <v>40324.1</v>
      </c>
      <c r="CF20" s="13">
        <f t="shared" si="42"/>
        <v>0.2999999999956344</v>
      </c>
      <c r="CG20" s="227">
        <v>29445</v>
      </c>
      <c r="CH20" s="13">
        <f t="shared" si="17"/>
        <v>80</v>
      </c>
      <c r="CI20" s="321">
        <v>28260.6445</v>
      </c>
      <c r="CJ20" s="13">
        <f t="shared" si="18"/>
        <v>9.769999999989523</v>
      </c>
      <c r="CK20" s="321">
        <v>75970</v>
      </c>
      <c r="CL20" s="13">
        <f t="shared" si="19"/>
        <v>3</v>
      </c>
      <c r="CM20" s="230"/>
      <c r="CN20" s="13">
        <f t="shared" si="20"/>
        <v>0</v>
      </c>
      <c r="CO20" s="230">
        <v>5890.669</v>
      </c>
      <c r="CP20" s="13">
        <f t="shared" si="43"/>
        <v>21.17999999994936</v>
      </c>
      <c r="CQ20" s="321"/>
      <c r="CR20" s="13">
        <f t="shared" si="45"/>
        <v>0</v>
      </c>
      <c r="CS20" s="436"/>
      <c r="CT20" s="437">
        <f t="shared" si="44"/>
        <v>0</v>
      </c>
      <c r="CU20" s="434"/>
      <c r="CV20" s="437">
        <f t="shared" si="44"/>
        <v>0</v>
      </c>
      <c r="CW20" s="436"/>
      <c r="CX20" s="437">
        <f t="shared" si="46"/>
        <v>0</v>
      </c>
    </row>
    <row r="21" spans="1:102" s="304" customFormat="1" ht="13.5" thickBot="1">
      <c r="A21" s="315">
        <v>14</v>
      </c>
      <c r="B21" s="323"/>
      <c r="C21" s="288">
        <f t="shared" si="23"/>
        <v>0</v>
      </c>
      <c r="D21" s="301"/>
      <c r="E21" s="288">
        <f t="shared" si="0"/>
        <v>0</v>
      </c>
      <c r="F21" s="154"/>
      <c r="G21" s="288">
        <f t="shared" si="1"/>
        <v>0</v>
      </c>
      <c r="H21" s="55"/>
      <c r="I21" s="288">
        <f t="shared" si="2"/>
        <v>0</v>
      </c>
      <c r="J21" s="154"/>
      <c r="K21" s="288">
        <f t="shared" si="3"/>
        <v>0</v>
      </c>
      <c r="L21" s="154"/>
      <c r="M21" s="288">
        <f t="shared" si="4"/>
        <v>0</v>
      </c>
      <c r="N21" s="290"/>
      <c r="O21" s="316">
        <v>8255.8</v>
      </c>
      <c r="P21" s="292">
        <f t="shared" si="24"/>
        <v>15.999999999985448</v>
      </c>
      <c r="Q21" s="302">
        <v>2660.9</v>
      </c>
      <c r="R21" s="333">
        <f t="shared" si="5"/>
        <v>3.999999999996362</v>
      </c>
      <c r="S21" s="338"/>
      <c r="T21" s="337">
        <f t="shared" si="6"/>
        <v>0</v>
      </c>
      <c r="U21" s="291"/>
      <c r="V21" s="333">
        <f t="shared" si="7"/>
        <v>0</v>
      </c>
      <c r="W21" s="338"/>
      <c r="X21" s="337">
        <f t="shared" si="8"/>
        <v>0</v>
      </c>
      <c r="Z21" s="317"/>
      <c r="AA21" s="288">
        <f t="shared" si="9"/>
        <v>0</v>
      </c>
      <c r="AB21" s="305">
        <v>6355.3</v>
      </c>
      <c r="AC21" s="288">
        <f t="shared" si="10"/>
        <v>7.999999999992724</v>
      </c>
      <c r="AD21" s="308">
        <v>3594.6</v>
      </c>
      <c r="AE21" s="288">
        <f t="shared" si="11"/>
        <v>3.999999999996362</v>
      </c>
      <c r="AF21" s="457">
        <v>4901.5</v>
      </c>
      <c r="AG21" s="13">
        <f t="shared" si="25"/>
        <v>0</v>
      </c>
      <c r="AH21" s="315">
        <v>5779.08</v>
      </c>
      <c r="AI21" s="13">
        <f t="shared" si="25"/>
        <v>1.5999999999985448</v>
      </c>
      <c r="AJ21" s="451"/>
      <c r="AK21" s="288">
        <f t="shared" si="26"/>
        <v>0</v>
      </c>
      <c r="AL21" s="301"/>
      <c r="AM21" s="288">
        <f t="shared" si="12"/>
        <v>0</v>
      </c>
      <c r="AN21" s="55"/>
      <c r="AO21" s="288">
        <f t="shared" si="13"/>
        <v>0</v>
      </c>
      <c r="AP21" s="154"/>
      <c r="AQ21" s="288">
        <f t="shared" si="14"/>
        <v>0</v>
      </c>
      <c r="AR21" s="154"/>
      <c r="AS21" s="288">
        <f t="shared" si="15"/>
        <v>0</v>
      </c>
      <c r="AT21" s="310"/>
      <c r="AU21" s="300">
        <v>13591</v>
      </c>
      <c r="AV21" s="13">
        <f t="shared" si="27"/>
        <v>4.499999999989086</v>
      </c>
      <c r="AW21" s="315">
        <v>11294.4</v>
      </c>
      <c r="AX21" s="13">
        <f t="shared" si="28"/>
        <v>-15</v>
      </c>
      <c r="AY21" s="315">
        <v>2428.1</v>
      </c>
      <c r="AZ21" s="13">
        <f t="shared" si="29"/>
        <v>3.999999999996362</v>
      </c>
      <c r="BA21" s="318"/>
      <c r="BB21" s="266">
        <f t="shared" si="30"/>
        <v>0</v>
      </c>
      <c r="BC21" s="318"/>
      <c r="BD21" s="266">
        <f t="shared" si="31"/>
        <v>0</v>
      </c>
      <c r="BE21" s="318"/>
      <c r="BF21" s="266">
        <f t="shared" si="32"/>
        <v>0</v>
      </c>
      <c r="BG21" s="318"/>
      <c r="BH21" s="266">
        <f t="shared" si="33"/>
        <v>0</v>
      </c>
      <c r="BI21" s="318"/>
      <c r="BJ21" s="266">
        <f t="shared" si="34"/>
        <v>0</v>
      </c>
      <c r="BK21" s="318"/>
      <c r="BL21" s="266">
        <f t="shared" si="35"/>
        <v>0</v>
      </c>
      <c r="BN21" s="5">
        <v>14</v>
      </c>
      <c r="BO21" s="311">
        <v>8997</v>
      </c>
      <c r="BP21" s="232">
        <f t="shared" si="36"/>
        <v>0</v>
      </c>
      <c r="BQ21" s="311">
        <v>4673</v>
      </c>
      <c r="BR21" s="232">
        <f t="shared" si="37"/>
        <v>0</v>
      </c>
      <c r="BS21" s="312">
        <v>4652</v>
      </c>
      <c r="BT21" s="232">
        <f t="shared" si="38"/>
        <v>60</v>
      </c>
      <c r="BU21" s="313">
        <v>4619.7</v>
      </c>
      <c r="BV21" s="415">
        <f t="shared" si="39"/>
        <v>0</v>
      </c>
      <c r="BW21" s="49"/>
      <c r="BX21" s="425">
        <v>14</v>
      </c>
      <c r="BY21" s="417">
        <v>16504.8</v>
      </c>
      <c r="BZ21" s="14">
        <f t="shared" si="40"/>
        <v>20</v>
      </c>
      <c r="CA21" s="226">
        <v>6238.9</v>
      </c>
      <c r="CB21" s="13">
        <f t="shared" si="41"/>
        <v>13.999999999996362</v>
      </c>
      <c r="CC21" s="7">
        <v>18446.5</v>
      </c>
      <c r="CD21" s="13">
        <f t="shared" si="16"/>
        <v>8.000000000029104</v>
      </c>
      <c r="CE21" s="322">
        <v>40325.2</v>
      </c>
      <c r="CF21" s="13">
        <f t="shared" si="42"/>
        <v>1.0999999999985448</v>
      </c>
      <c r="CG21" s="227">
        <v>29445.7</v>
      </c>
      <c r="CH21" s="13">
        <f t="shared" si="17"/>
        <v>56.00000000005821</v>
      </c>
      <c r="CI21" s="321">
        <v>28261.135000000002</v>
      </c>
      <c r="CJ21" s="13">
        <f t="shared" si="18"/>
        <v>9.810000000070431</v>
      </c>
      <c r="CK21" s="319">
        <v>75973.3</v>
      </c>
      <c r="CL21" s="13">
        <f t="shared" si="19"/>
        <v>3.3000000000029104</v>
      </c>
      <c r="CM21" s="230"/>
      <c r="CN21" s="13">
        <f t="shared" si="20"/>
        <v>0</v>
      </c>
      <c r="CO21" s="230">
        <v>5890.987999999999</v>
      </c>
      <c r="CP21" s="13">
        <f t="shared" si="43"/>
        <v>19.139999999970314</v>
      </c>
      <c r="CQ21" s="319"/>
      <c r="CR21" s="13">
        <f t="shared" si="45"/>
        <v>0</v>
      </c>
      <c r="CS21" s="436"/>
      <c r="CT21" s="437">
        <f t="shared" si="44"/>
        <v>0</v>
      </c>
      <c r="CU21" s="434"/>
      <c r="CV21" s="437">
        <f t="shared" si="44"/>
        <v>0</v>
      </c>
      <c r="CW21" s="438"/>
      <c r="CX21" s="437">
        <f t="shared" si="46"/>
        <v>0</v>
      </c>
    </row>
    <row r="22" spans="1:102" s="304" customFormat="1" ht="13.5" thickBot="1">
      <c r="A22" s="315">
        <v>15</v>
      </c>
      <c r="B22" s="323"/>
      <c r="C22" s="288">
        <f t="shared" si="23"/>
        <v>0</v>
      </c>
      <c r="D22" s="301"/>
      <c r="E22" s="288">
        <f t="shared" si="0"/>
        <v>0</v>
      </c>
      <c r="F22" s="154"/>
      <c r="G22" s="288">
        <f t="shared" si="1"/>
        <v>0</v>
      </c>
      <c r="H22" s="55"/>
      <c r="I22" s="288">
        <f t="shared" si="2"/>
        <v>0</v>
      </c>
      <c r="J22" s="154"/>
      <c r="K22" s="288">
        <f t="shared" si="3"/>
        <v>0</v>
      </c>
      <c r="L22" s="154"/>
      <c r="M22" s="288">
        <f t="shared" si="4"/>
        <v>0</v>
      </c>
      <c r="N22" s="290"/>
      <c r="O22" s="316">
        <v>8256.1</v>
      </c>
      <c r="P22" s="292">
        <f t="shared" si="24"/>
        <v>12.000000000043656</v>
      </c>
      <c r="Q22" s="302">
        <v>2661</v>
      </c>
      <c r="R22" s="333">
        <f t="shared" si="5"/>
        <v>3.999999999996362</v>
      </c>
      <c r="S22" s="338"/>
      <c r="T22" s="337">
        <f t="shared" si="6"/>
        <v>0</v>
      </c>
      <c r="U22" s="291"/>
      <c r="V22" s="333">
        <f t="shared" si="7"/>
        <v>0</v>
      </c>
      <c r="W22" s="338"/>
      <c r="X22" s="337">
        <f t="shared" si="8"/>
        <v>0</v>
      </c>
      <c r="Z22" s="317"/>
      <c r="AA22" s="288">
        <f t="shared" si="9"/>
        <v>0</v>
      </c>
      <c r="AB22" s="305">
        <v>6355.5</v>
      </c>
      <c r="AC22" s="288">
        <f t="shared" si="10"/>
        <v>7.999999999992724</v>
      </c>
      <c r="AD22" s="308">
        <v>3594.6</v>
      </c>
      <c r="AE22" s="288">
        <f t="shared" si="11"/>
        <v>0</v>
      </c>
      <c r="AF22" s="457">
        <v>4901.6</v>
      </c>
      <c r="AG22" s="13">
        <f t="shared" si="25"/>
        <v>2.000000000007276</v>
      </c>
      <c r="AH22" s="315">
        <v>5779.15</v>
      </c>
      <c r="AI22" s="13">
        <f t="shared" si="25"/>
        <v>1.3999999999941792</v>
      </c>
      <c r="AJ22" s="451"/>
      <c r="AK22" s="288">
        <f t="shared" si="26"/>
        <v>0</v>
      </c>
      <c r="AL22" s="301"/>
      <c r="AM22" s="288">
        <f t="shared" si="12"/>
        <v>0</v>
      </c>
      <c r="AN22" s="55"/>
      <c r="AO22" s="288">
        <f t="shared" si="13"/>
        <v>0</v>
      </c>
      <c r="AP22" s="154"/>
      <c r="AQ22" s="288">
        <f t="shared" si="14"/>
        <v>0</v>
      </c>
      <c r="AR22" s="154"/>
      <c r="AS22" s="288">
        <f t="shared" si="15"/>
        <v>0</v>
      </c>
      <c r="AT22" s="310"/>
      <c r="AU22" s="300">
        <v>13591.3</v>
      </c>
      <c r="AV22" s="13">
        <f t="shared" si="27"/>
        <v>4.499999999989086</v>
      </c>
      <c r="AW22" s="315">
        <v>11294.6</v>
      </c>
      <c r="AX22" s="13">
        <f t="shared" si="28"/>
        <v>6.000000000021828</v>
      </c>
      <c r="AY22" s="315">
        <v>2428.3</v>
      </c>
      <c r="AZ22" s="13">
        <f t="shared" si="29"/>
        <v>4.000000000005457</v>
      </c>
      <c r="BA22" s="318"/>
      <c r="BB22" s="266">
        <f t="shared" si="30"/>
        <v>0</v>
      </c>
      <c r="BC22" s="318"/>
      <c r="BD22" s="266">
        <f t="shared" si="31"/>
        <v>0</v>
      </c>
      <c r="BE22" s="318"/>
      <c r="BF22" s="266">
        <f t="shared" si="32"/>
        <v>0</v>
      </c>
      <c r="BG22" s="318"/>
      <c r="BH22" s="266">
        <f t="shared" si="33"/>
        <v>0</v>
      </c>
      <c r="BI22" s="318"/>
      <c r="BJ22" s="266">
        <f t="shared" si="34"/>
        <v>0</v>
      </c>
      <c r="BK22" s="318"/>
      <c r="BL22" s="266">
        <f t="shared" si="35"/>
        <v>0</v>
      </c>
      <c r="BN22" s="5">
        <v>15</v>
      </c>
      <c r="BO22" s="311">
        <v>8997.9</v>
      </c>
      <c r="BP22" s="232">
        <f t="shared" si="36"/>
        <v>53.99999999997817</v>
      </c>
      <c r="BQ22" s="311">
        <v>4674</v>
      </c>
      <c r="BR22" s="232">
        <f t="shared" si="37"/>
        <v>60</v>
      </c>
      <c r="BS22" s="312">
        <v>4652.2</v>
      </c>
      <c r="BT22" s="232">
        <f>(BS22-BS21)*60</f>
        <v>11.999999999989086</v>
      </c>
      <c r="BU22" s="313">
        <v>4619.7</v>
      </c>
      <c r="BV22" s="415">
        <f t="shared" si="39"/>
        <v>0</v>
      </c>
      <c r="BW22" s="49"/>
      <c r="BX22" s="425">
        <v>15</v>
      </c>
      <c r="BY22" s="417">
        <v>16505.4</v>
      </c>
      <c r="BZ22" s="14">
        <f>(BY22-BY21)*20</f>
        <v>12.000000000043656</v>
      </c>
      <c r="CA22" s="226">
        <v>6239.099999999999</v>
      </c>
      <c r="CB22" s="13">
        <f t="shared" si="41"/>
        <v>3.999999999996362</v>
      </c>
      <c r="CC22" s="7">
        <v>18446.6</v>
      </c>
      <c r="CD22" s="13">
        <f t="shared" si="16"/>
        <v>3.9999999999417923</v>
      </c>
      <c r="CE22" s="322">
        <v>40329.4</v>
      </c>
      <c r="CF22" s="13">
        <f t="shared" si="42"/>
        <v>4.200000000004366</v>
      </c>
      <c r="CG22" s="227">
        <v>29446.9</v>
      </c>
      <c r="CH22" s="13">
        <f t="shared" si="17"/>
        <v>96.00000000005821</v>
      </c>
      <c r="CI22" s="321">
        <v>28261.648</v>
      </c>
      <c r="CJ22" s="13">
        <f t="shared" si="18"/>
        <v>10.25999999998021</v>
      </c>
      <c r="CK22" s="319">
        <v>75975.4</v>
      </c>
      <c r="CL22" s="13">
        <f t="shared" si="19"/>
        <v>2.099999999991269</v>
      </c>
      <c r="CM22" s="230"/>
      <c r="CN22" s="13">
        <f t="shared" si="20"/>
        <v>0</v>
      </c>
      <c r="CO22" s="230">
        <v>5891.272999999999</v>
      </c>
      <c r="CP22" s="13">
        <f t="shared" si="43"/>
        <v>17.09999999999127</v>
      </c>
      <c r="CQ22" s="319"/>
      <c r="CR22" s="13">
        <f t="shared" si="45"/>
        <v>0</v>
      </c>
      <c r="CS22" s="436"/>
      <c r="CT22" s="437">
        <f t="shared" si="44"/>
        <v>0</v>
      </c>
      <c r="CU22" s="434"/>
      <c r="CV22" s="437">
        <f t="shared" si="44"/>
        <v>0</v>
      </c>
      <c r="CW22" s="438"/>
      <c r="CX22" s="437">
        <f t="shared" si="46"/>
        <v>0</v>
      </c>
    </row>
    <row r="23" spans="1:102" s="304" customFormat="1" ht="13.5" thickBot="1">
      <c r="A23" s="315">
        <v>16</v>
      </c>
      <c r="B23" s="323"/>
      <c r="C23" s="288">
        <f t="shared" si="23"/>
        <v>0</v>
      </c>
      <c r="D23" s="301"/>
      <c r="E23" s="288">
        <f t="shared" si="0"/>
        <v>0</v>
      </c>
      <c r="F23" s="154"/>
      <c r="G23" s="288">
        <f t="shared" si="1"/>
        <v>0</v>
      </c>
      <c r="H23" s="154"/>
      <c r="I23" s="288">
        <f t="shared" si="2"/>
        <v>0</v>
      </c>
      <c r="J23" s="154"/>
      <c r="K23" s="288">
        <f t="shared" si="3"/>
        <v>0</v>
      </c>
      <c r="L23" s="154"/>
      <c r="M23" s="288">
        <f t="shared" si="4"/>
        <v>0</v>
      </c>
      <c r="N23" s="290"/>
      <c r="O23" s="316">
        <v>8256.2</v>
      </c>
      <c r="P23" s="292">
        <f t="shared" si="24"/>
        <v>4.000000000014552</v>
      </c>
      <c r="Q23" s="302">
        <v>2661</v>
      </c>
      <c r="R23" s="333">
        <f t="shared" si="5"/>
        <v>0</v>
      </c>
      <c r="S23" s="338"/>
      <c r="T23" s="337">
        <f t="shared" si="6"/>
        <v>0</v>
      </c>
      <c r="U23" s="291"/>
      <c r="V23" s="333">
        <f t="shared" si="7"/>
        <v>0</v>
      </c>
      <c r="W23" s="338"/>
      <c r="X23" s="337">
        <f t="shared" si="8"/>
        <v>0</v>
      </c>
      <c r="Z23" s="317"/>
      <c r="AA23" s="288">
        <f t="shared" si="9"/>
        <v>0</v>
      </c>
      <c r="AB23" s="305">
        <v>6355.6</v>
      </c>
      <c r="AC23" s="288">
        <f t="shared" si="10"/>
        <v>4.000000000014552</v>
      </c>
      <c r="AD23" s="308">
        <v>3594.6</v>
      </c>
      <c r="AE23" s="288">
        <f t="shared" si="11"/>
        <v>0</v>
      </c>
      <c r="AF23" s="457">
        <v>4901.6</v>
      </c>
      <c r="AG23" s="13">
        <f t="shared" si="25"/>
        <v>0</v>
      </c>
      <c r="AH23" s="315">
        <v>5779.48</v>
      </c>
      <c r="AI23" s="13">
        <f t="shared" si="25"/>
        <v>6.599999999998545</v>
      </c>
      <c r="AJ23" s="451"/>
      <c r="AK23" s="288">
        <f t="shared" si="26"/>
        <v>0</v>
      </c>
      <c r="AL23" s="301"/>
      <c r="AM23" s="288">
        <f t="shared" si="12"/>
        <v>0</v>
      </c>
      <c r="AN23" s="55"/>
      <c r="AO23" s="288">
        <f t="shared" si="13"/>
        <v>0</v>
      </c>
      <c r="AP23" s="154"/>
      <c r="AQ23" s="288">
        <f t="shared" si="14"/>
        <v>0</v>
      </c>
      <c r="AR23" s="154"/>
      <c r="AS23" s="288">
        <f t="shared" si="15"/>
        <v>0</v>
      </c>
      <c r="AT23" s="310"/>
      <c r="AU23" s="300">
        <v>13591.7</v>
      </c>
      <c r="AV23" s="13">
        <f t="shared" si="27"/>
        <v>6.000000000021828</v>
      </c>
      <c r="AW23" s="315">
        <v>11294.8</v>
      </c>
      <c r="AX23" s="13">
        <f t="shared" si="28"/>
        <v>5.999999999967258</v>
      </c>
      <c r="AY23" s="315">
        <v>2428.5</v>
      </c>
      <c r="AZ23" s="13">
        <f t="shared" si="29"/>
        <v>3.999999999996362</v>
      </c>
      <c r="BA23" s="318"/>
      <c r="BB23" s="266">
        <f t="shared" si="30"/>
        <v>0</v>
      </c>
      <c r="BC23" s="318"/>
      <c r="BD23" s="266">
        <f t="shared" si="31"/>
        <v>0</v>
      </c>
      <c r="BE23" s="318"/>
      <c r="BF23" s="266">
        <f t="shared" si="32"/>
        <v>0</v>
      </c>
      <c r="BG23" s="318"/>
      <c r="BH23" s="266">
        <f t="shared" si="33"/>
        <v>0</v>
      </c>
      <c r="BI23" s="318"/>
      <c r="BJ23" s="266">
        <f t="shared" si="34"/>
        <v>0</v>
      </c>
      <c r="BK23" s="318"/>
      <c r="BL23" s="266">
        <f t="shared" si="35"/>
        <v>0</v>
      </c>
      <c r="BN23" s="5">
        <v>16</v>
      </c>
      <c r="BO23" s="311">
        <v>8997.9</v>
      </c>
      <c r="BP23" s="232">
        <f t="shared" si="36"/>
        <v>0</v>
      </c>
      <c r="BQ23" s="311">
        <v>4674</v>
      </c>
      <c r="BR23" s="232">
        <f t="shared" si="37"/>
        <v>0</v>
      </c>
      <c r="BS23" s="312">
        <v>4652.2</v>
      </c>
      <c r="BT23" s="232">
        <f t="shared" si="38"/>
        <v>0</v>
      </c>
      <c r="BU23" s="313">
        <v>4619.7</v>
      </c>
      <c r="BV23" s="415">
        <f t="shared" si="39"/>
        <v>0</v>
      </c>
      <c r="BW23" s="49"/>
      <c r="BX23" s="425">
        <v>16</v>
      </c>
      <c r="BY23" s="417">
        <v>16505.7</v>
      </c>
      <c r="BZ23" s="14">
        <f>(BY23-BY22)*20</f>
        <v>5.999999999985448</v>
      </c>
      <c r="CA23" s="226">
        <v>6239.2</v>
      </c>
      <c r="CB23" s="13">
        <f t="shared" si="41"/>
        <v>2.000000000007276</v>
      </c>
      <c r="CC23" s="7">
        <v>18446.6</v>
      </c>
      <c r="CD23" s="13">
        <f t="shared" si="16"/>
        <v>0</v>
      </c>
      <c r="CE23" s="322">
        <v>40334</v>
      </c>
      <c r="CF23" s="13">
        <f t="shared" si="42"/>
        <v>4.599999999998545</v>
      </c>
      <c r="CG23" s="227">
        <v>29447.3</v>
      </c>
      <c r="CH23" s="13">
        <f t="shared" si="17"/>
        <v>31.999999999825377</v>
      </c>
      <c r="CI23" s="321">
        <v>28262.1065</v>
      </c>
      <c r="CJ23" s="13">
        <f t="shared" si="18"/>
        <v>9.170000000012806</v>
      </c>
      <c r="CK23" s="319">
        <v>75980.4</v>
      </c>
      <c r="CL23" s="13">
        <f t="shared" si="19"/>
        <v>5</v>
      </c>
      <c r="CM23" s="230"/>
      <c r="CN23" s="13">
        <f t="shared" si="20"/>
        <v>0</v>
      </c>
      <c r="CO23" s="230">
        <v>5891.548000000001</v>
      </c>
      <c r="CP23" s="13">
        <f t="shared" si="43"/>
        <v>16.50000000008731</v>
      </c>
      <c r="CQ23" s="319"/>
      <c r="CR23" s="13">
        <f t="shared" si="45"/>
        <v>0</v>
      </c>
      <c r="CS23" s="436"/>
      <c r="CT23" s="437">
        <f t="shared" si="44"/>
        <v>0</v>
      </c>
      <c r="CU23" s="434"/>
      <c r="CV23" s="437">
        <f t="shared" si="44"/>
        <v>0</v>
      </c>
      <c r="CW23" s="438"/>
      <c r="CX23" s="437">
        <f t="shared" si="46"/>
        <v>0</v>
      </c>
    </row>
    <row r="24" spans="1:102" s="304" customFormat="1" ht="13.5" thickBot="1">
      <c r="A24" s="315">
        <v>17</v>
      </c>
      <c r="B24" s="323"/>
      <c r="C24" s="288">
        <f t="shared" si="23"/>
        <v>0</v>
      </c>
      <c r="D24" s="301"/>
      <c r="E24" s="288">
        <f t="shared" si="0"/>
        <v>0</v>
      </c>
      <c r="F24" s="154"/>
      <c r="G24" s="288">
        <f t="shared" si="1"/>
        <v>0</v>
      </c>
      <c r="H24" s="154"/>
      <c r="I24" s="288">
        <f t="shared" si="2"/>
        <v>0</v>
      </c>
      <c r="J24" s="154"/>
      <c r="K24" s="288">
        <f t="shared" si="3"/>
        <v>0</v>
      </c>
      <c r="L24" s="154"/>
      <c r="M24" s="288">
        <f t="shared" si="4"/>
        <v>0</v>
      </c>
      <c r="N24" s="290"/>
      <c r="O24" s="316">
        <v>8256.3</v>
      </c>
      <c r="P24" s="292">
        <f t="shared" si="24"/>
        <v>3.9999999999417923</v>
      </c>
      <c r="Q24" s="302">
        <v>2661.1</v>
      </c>
      <c r="R24" s="333">
        <f t="shared" si="5"/>
        <v>3.999999999996362</v>
      </c>
      <c r="S24" s="338"/>
      <c r="T24" s="337">
        <f t="shared" si="6"/>
        <v>0</v>
      </c>
      <c r="U24" s="291"/>
      <c r="V24" s="333">
        <f t="shared" si="7"/>
        <v>0</v>
      </c>
      <c r="W24" s="338"/>
      <c r="X24" s="337">
        <f t="shared" si="8"/>
        <v>0</v>
      </c>
      <c r="Z24" s="317"/>
      <c r="AA24" s="288">
        <f t="shared" si="9"/>
        <v>0</v>
      </c>
      <c r="AB24" s="305">
        <v>6355.7</v>
      </c>
      <c r="AC24" s="288">
        <f t="shared" si="10"/>
        <v>3.999999999978172</v>
      </c>
      <c r="AD24" s="308">
        <v>3594.7</v>
      </c>
      <c r="AE24" s="288">
        <f t="shared" si="11"/>
        <v>3.999999999996362</v>
      </c>
      <c r="AF24" s="457">
        <v>4901.7</v>
      </c>
      <c r="AG24" s="13">
        <f t="shared" si="25"/>
        <v>1.999999999989086</v>
      </c>
      <c r="AH24" s="315">
        <v>5779.56</v>
      </c>
      <c r="AI24" s="13">
        <f t="shared" si="25"/>
        <v>1.6000000000167347</v>
      </c>
      <c r="AJ24" s="451"/>
      <c r="AK24" s="288">
        <f t="shared" si="26"/>
        <v>0</v>
      </c>
      <c r="AL24" s="301"/>
      <c r="AM24" s="288">
        <f t="shared" si="12"/>
        <v>0</v>
      </c>
      <c r="AN24" s="55"/>
      <c r="AO24" s="288">
        <f t="shared" si="13"/>
        <v>0</v>
      </c>
      <c r="AP24" s="154"/>
      <c r="AQ24" s="288">
        <f t="shared" si="14"/>
        <v>0</v>
      </c>
      <c r="AR24" s="154"/>
      <c r="AS24" s="288">
        <f t="shared" si="15"/>
        <v>0</v>
      </c>
      <c r="AT24" s="310"/>
      <c r="AU24" s="300">
        <v>13592</v>
      </c>
      <c r="AV24" s="13">
        <f t="shared" si="27"/>
        <v>4.499999999989086</v>
      </c>
      <c r="AW24" s="315">
        <v>11295</v>
      </c>
      <c r="AX24" s="13">
        <f t="shared" si="28"/>
        <v>6.000000000021828</v>
      </c>
      <c r="AY24" s="255">
        <v>2428.6</v>
      </c>
      <c r="AZ24" s="13">
        <f t="shared" si="29"/>
        <v>1.999999999998181</v>
      </c>
      <c r="BA24" s="318"/>
      <c r="BB24" s="266">
        <f t="shared" si="30"/>
        <v>0</v>
      </c>
      <c r="BC24" s="318"/>
      <c r="BD24" s="266">
        <f t="shared" si="31"/>
        <v>0</v>
      </c>
      <c r="BE24" s="318"/>
      <c r="BF24" s="266">
        <f t="shared" si="32"/>
        <v>0</v>
      </c>
      <c r="BG24" s="318"/>
      <c r="BH24" s="266">
        <f t="shared" si="33"/>
        <v>0</v>
      </c>
      <c r="BI24" s="318"/>
      <c r="BJ24" s="266">
        <f t="shared" si="34"/>
        <v>0</v>
      </c>
      <c r="BK24" s="318"/>
      <c r="BL24" s="266">
        <f t="shared" si="35"/>
        <v>0</v>
      </c>
      <c r="BN24" s="5">
        <v>17</v>
      </c>
      <c r="BO24" s="311">
        <v>8998.3</v>
      </c>
      <c r="BP24" s="232">
        <f t="shared" si="36"/>
        <v>23.999999999978172</v>
      </c>
      <c r="BQ24" s="311">
        <v>4674</v>
      </c>
      <c r="BR24" s="232">
        <f t="shared" si="37"/>
        <v>0</v>
      </c>
      <c r="BS24" s="312">
        <v>4652.2</v>
      </c>
      <c r="BT24" s="232">
        <f t="shared" si="38"/>
        <v>0</v>
      </c>
      <c r="BU24" s="313">
        <v>4619.7</v>
      </c>
      <c r="BV24" s="415">
        <f t="shared" si="39"/>
        <v>0</v>
      </c>
      <c r="BW24" s="49"/>
      <c r="BX24" s="425">
        <v>17</v>
      </c>
      <c r="BY24" s="417">
        <v>16506.3</v>
      </c>
      <c r="BZ24" s="14">
        <f>(BY24-BY23)*20</f>
        <v>11.999999999970896</v>
      </c>
      <c r="CA24" s="226">
        <v>6239.3</v>
      </c>
      <c r="CB24" s="13">
        <f t="shared" si="41"/>
        <v>2.000000000007276</v>
      </c>
      <c r="CC24" s="7">
        <v>18446.7</v>
      </c>
      <c r="CD24" s="13">
        <f t="shared" si="16"/>
        <v>4.0000000000873115</v>
      </c>
      <c r="CE24" s="322">
        <v>40336.1</v>
      </c>
      <c r="CF24" s="13">
        <f t="shared" si="42"/>
        <v>2.099999999998545</v>
      </c>
      <c r="CG24" s="227">
        <v>29448.8</v>
      </c>
      <c r="CH24" s="13">
        <f t="shared" si="17"/>
        <v>120</v>
      </c>
      <c r="CI24" s="321">
        <v>28262.608500000002</v>
      </c>
      <c r="CJ24" s="13">
        <f t="shared" si="18"/>
        <v>10.040000000008149</v>
      </c>
      <c r="CK24" s="319">
        <v>75982.4</v>
      </c>
      <c r="CL24" s="13">
        <f t="shared" si="19"/>
        <v>2</v>
      </c>
      <c r="CM24" s="230"/>
      <c r="CN24" s="13">
        <f t="shared" si="20"/>
        <v>0</v>
      </c>
      <c r="CO24" s="230">
        <v>5891.775</v>
      </c>
      <c r="CP24" s="13">
        <f t="shared" si="43"/>
        <v>13.619999999937136</v>
      </c>
      <c r="CQ24" s="319"/>
      <c r="CR24" s="13">
        <f t="shared" si="45"/>
        <v>0</v>
      </c>
      <c r="CS24" s="436"/>
      <c r="CT24" s="437">
        <f t="shared" si="44"/>
        <v>0</v>
      </c>
      <c r="CU24" s="434"/>
      <c r="CV24" s="437">
        <f t="shared" si="44"/>
        <v>0</v>
      </c>
      <c r="CW24" s="438"/>
      <c r="CX24" s="437">
        <f t="shared" si="46"/>
        <v>0</v>
      </c>
    </row>
    <row r="25" spans="1:102" s="304" customFormat="1" ht="13.5" thickBot="1">
      <c r="A25" s="315">
        <v>18</v>
      </c>
      <c r="B25" s="323"/>
      <c r="C25" s="288">
        <f t="shared" si="23"/>
        <v>0</v>
      </c>
      <c r="D25" s="301"/>
      <c r="E25" s="288">
        <f t="shared" si="0"/>
        <v>0</v>
      </c>
      <c r="F25" s="154"/>
      <c r="G25" s="288">
        <f t="shared" si="1"/>
        <v>0</v>
      </c>
      <c r="H25" s="154"/>
      <c r="I25" s="288">
        <f t="shared" si="2"/>
        <v>0</v>
      </c>
      <c r="J25" s="154"/>
      <c r="K25" s="288">
        <f t="shared" si="3"/>
        <v>0</v>
      </c>
      <c r="L25" s="154"/>
      <c r="M25" s="288">
        <f t="shared" si="4"/>
        <v>0</v>
      </c>
      <c r="N25" s="290"/>
      <c r="O25" s="316">
        <v>8256.4</v>
      </c>
      <c r="P25" s="292">
        <f t="shared" si="24"/>
        <v>4.000000000014552</v>
      </c>
      <c r="Q25" s="302">
        <v>2661.2</v>
      </c>
      <c r="R25" s="333">
        <f t="shared" si="5"/>
        <v>3.999999999996362</v>
      </c>
      <c r="S25" s="338"/>
      <c r="T25" s="337">
        <f t="shared" si="6"/>
        <v>0</v>
      </c>
      <c r="U25" s="291"/>
      <c r="V25" s="333">
        <f t="shared" si="7"/>
        <v>0</v>
      </c>
      <c r="W25" s="338"/>
      <c r="X25" s="337">
        <f t="shared" si="8"/>
        <v>0</v>
      </c>
      <c r="Z25" s="317"/>
      <c r="AA25" s="288">
        <f t="shared" si="9"/>
        <v>0</v>
      </c>
      <c r="AB25" s="305">
        <v>6355.7</v>
      </c>
      <c r="AC25" s="288">
        <f t="shared" si="10"/>
        <v>0</v>
      </c>
      <c r="AD25" s="308">
        <v>3594.7</v>
      </c>
      <c r="AE25" s="288">
        <f t="shared" si="11"/>
        <v>0</v>
      </c>
      <c r="AF25" s="457">
        <v>4901.7</v>
      </c>
      <c r="AG25" s="13">
        <f t="shared" si="25"/>
        <v>0</v>
      </c>
      <c r="AH25" s="315">
        <v>5780.98</v>
      </c>
      <c r="AI25" s="13">
        <f t="shared" si="25"/>
        <v>28.399999999983265</v>
      </c>
      <c r="AJ25" s="451"/>
      <c r="AK25" s="288">
        <f t="shared" si="26"/>
        <v>0</v>
      </c>
      <c r="AL25" s="301"/>
      <c r="AM25" s="288">
        <f t="shared" si="12"/>
        <v>0</v>
      </c>
      <c r="AN25" s="154"/>
      <c r="AO25" s="288">
        <f t="shared" si="13"/>
        <v>0</v>
      </c>
      <c r="AP25" s="154"/>
      <c r="AQ25" s="288">
        <f t="shared" si="14"/>
        <v>0</v>
      </c>
      <c r="AR25" s="154"/>
      <c r="AS25" s="288">
        <f t="shared" si="15"/>
        <v>0</v>
      </c>
      <c r="AT25" s="310"/>
      <c r="AU25" s="300">
        <v>13592.2</v>
      </c>
      <c r="AV25" s="13">
        <f t="shared" si="27"/>
        <v>3.000000000010914</v>
      </c>
      <c r="AW25" s="315">
        <v>11295.2</v>
      </c>
      <c r="AX25" s="13">
        <f t="shared" si="28"/>
        <v>6.000000000021828</v>
      </c>
      <c r="AY25" s="256">
        <v>2428.6</v>
      </c>
      <c r="AZ25" s="13">
        <f t="shared" si="29"/>
        <v>0</v>
      </c>
      <c r="BA25" s="318"/>
      <c r="BB25" s="266">
        <f t="shared" si="30"/>
        <v>0</v>
      </c>
      <c r="BC25" s="318"/>
      <c r="BD25" s="266">
        <f t="shared" si="31"/>
        <v>0</v>
      </c>
      <c r="BE25" s="318"/>
      <c r="BF25" s="266">
        <f t="shared" si="32"/>
        <v>0</v>
      </c>
      <c r="BG25" s="318"/>
      <c r="BH25" s="266">
        <f t="shared" si="33"/>
        <v>0</v>
      </c>
      <c r="BI25" s="318"/>
      <c r="BJ25" s="266">
        <f t="shared" si="34"/>
        <v>0</v>
      </c>
      <c r="BK25" s="318"/>
      <c r="BL25" s="266">
        <f t="shared" si="35"/>
        <v>0</v>
      </c>
      <c r="BN25" s="5">
        <v>18</v>
      </c>
      <c r="BO25" s="311">
        <v>8998.3</v>
      </c>
      <c r="BP25" s="232">
        <f t="shared" si="36"/>
        <v>0</v>
      </c>
      <c r="BQ25" s="311">
        <v>4674.1</v>
      </c>
      <c r="BR25" s="232">
        <f t="shared" si="37"/>
        <v>6.000000000021828</v>
      </c>
      <c r="BS25" s="312">
        <v>4652.2</v>
      </c>
      <c r="BT25" s="232">
        <f t="shared" si="38"/>
        <v>0</v>
      </c>
      <c r="BU25" s="313">
        <v>4619.7</v>
      </c>
      <c r="BV25" s="415">
        <f t="shared" si="39"/>
        <v>0</v>
      </c>
      <c r="BW25" s="49"/>
      <c r="BX25" s="425">
        <v>18</v>
      </c>
      <c r="BY25" s="417">
        <v>16506.5</v>
      </c>
      <c r="BZ25" s="14">
        <f t="shared" si="40"/>
        <v>4.000000000014552</v>
      </c>
      <c r="CA25" s="226">
        <v>6239.3</v>
      </c>
      <c r="CB25" s="13">
        <f t="shared" si="41"/>
        <v>0</v>
      </c>
      <c r="CC25" s="7">
        <v>18446.7</v>
      </c>
      <c r="CD25" s="13">
        <f t="shared" si="16"/>
        <v>0</v>
      </c>
      <c r="CE25" s="322">
        <v>40337.4</v>
      </c>
      <c r="CF25" s="13">
        <f t="shared" si="42"/>
        <v>1.3000000000029104</v>
      </c>
      <c r="CG25" s="227">
        <v>29449.1</v>
      </c>
      <c r="CH25" s="13">
        <f t="shared" si="17"/>
        <v>23.999999999941792</v>
      </c>
      <c r="CI25" s="321">
        <v>28263.072500000002</v>
      </c>
      <c r="CJ25" s="13">
        <f t="shared" si="18"/>
        <v>9.279999999998836</v>
      </c>
      <c r="CK25" s="319">
        <v>75983.7</v>
      </c>
      <c r="CL25" s="13">
        <f t="shared" si="19"/>
        <v>1.3000000000029104</v>
      </c>
      <c r="CM25" s="230"/>
      <c r="CN25" s="13">
        <f t="shared" si="20"/>
        <v>0</v>
      </c>
      <c r="CO25" s="230">
        <v>5891.965</v>
      </c>
      <c r="CP25" s="13">
        <f t="shared" si="43"/>
        <v>11.400000000030559</v>
      </c>
      <c r="CQ25" s="319"/>
      <c r="CR25" s="13">
        <f t="shared" si="45"/>
        <v>0</v>
      </c>
      <c r="CS25" s="436"/>
      <c r="CT25" s="437">
        <f t="shared" si="44"/>
        <v>0</v>
      </c>
      <c r="CU25" s="434"/>
      <c r="CV25" s="437">
        <f t="shared" si="44"/>
        <v>0</v>
      </c>
      <c r="CW25" s="438"/>
      <c r="CX25" s="437">
        <f t="shared" si="46"/>
        <v>0</v>
      </c>
    </row>
    <row r="26" spans="1:102" s="304" customFormat="1" ht="13.5" thickBot="1">
      <c r="A26" s="315">
        <v>19</v>
      </c>
      <c r="B26" s="323"/>
      <c r="C26" s="288">
        <f t="shared" si="23"/>
        <v>0</v>
      </c>
      <c r="D26" s="301"/>
      <c r="E26" s="288">
        <f t="shared" si="0"/>
        <v>0</v>
      </c>
      <c r="F26" s="154"/>
      <c r="G26" s="288">
        <f t="shared" si="1"/>
        <v>0</v>
      </c>
      <c r="H26" s="154"/>
      <c r="I26" s="288">
        <f t="shared" si="2"/>
        <v>0</v>
      </c>
      <c r="J26" s="154"/>
      <c r="K26" s="288">
        <f t="shared" si="3"/>
        <v>0</v>
      </c>
      <c r="L26" s="154"/>
      <c r="M26" s="288">
        <f t="shared" si="4"/>
        <v>0</v>
      </c>
      <c r="N26" s="290"/>
      <c r="O26" s="316">
        <v>8256.5</v>
      </c>
      <c r="P26" s="292">
        <f t="shared" si="24"/>
        <v>4.000000000014552</v>
      </c>
      <c r="Q26" s="302">
        <v>2661.3</v>
      </c>
      <c r="R26" s="333">
        <f t="shared" si="5"/>
        <v>4.000000000014552</v>
      </c>
      <c r="S26" s="338"/>
      <c r="T26" s="337">
        <f t="shared" si="6"/>
        <v>0</v>
      </c>
      <c r="U26" s="291"/>
      <c r="V26" s="333">
        <f t="shared" si="7"/>
        <v>0</v>
      </c>
      <c r="W26" s="338"/>
      <c r="X26" s="337">
        <f t="shared" si="8"/>
        <v>0</v>
      </c>
      <c r="Z26" s="317"/>
      <c r="AA26" s="288">
        <f t="shared" si="9"/>
        <v>0</v>
      </c>
      <c r="AB26" s="305">
        <v>6355.8</v>
      </c>
      <c r="AC26" s="288">
        <f t="shared" si="10"/>
        <v>4.000000000014552</v>
      </c>
      <c r="AD26" s="308">
        <v>3594.8</v>
      </c>
      <c r="AE26" s="288">
        <f t="shared" si="11"/>
        <v>4.000000000014552</v>
      </c>
      <c r="AF26" s="457">
        <v>4901.8</v>
      </c>
      <c r="AG26" s="13">
        <f t="shared" si="25"/>
        <v>2.000000000007276</v>
      </c>
      <c r="AH26" s="315">
        <v>5781.89</v>
      </c>
      <c r="AI26" s="13">
        <f t="shared" si="25"/>
        <v>18.20000000001528</v>
      </c>
      <c r="AJ26" s="451"/>
      <c r="AK26" s="288">
        <f t="shared" si="26"/>
        <v>0</v>
      </c>
      <c r="AL26" s="301"/>
      <c r="AM26" s="288">
        <f t="shared" si="12"/>
        <v>0</v>
      </c>
      <c r="AN26" s="154"/>
      <c r="AO26" s="288">
        <f t="shared" si="13"/>
        <v>0</v>
      </c>
      <c r="AP26" s="154"/>
      <c r="AQ26" s="288">
        <f t="shared" si="14"/>
        <v>0</v>
      </c>
      <c r="AR26" s="154"/>
      <c r="AS26" s="288">
        <f t="shared" si="15"/>
        <v>0</v>
      </c>
      <c r="AT26" s="310"/>
      <c r="AU26" s="300">
        <v>13592.4</v>
      </c>
      <c r="AV26" s="13">
        <f t="shared" si="27"/>
        <v>2.999999999983629</v>
      </c>
      <c r="AW26" s="257">
        <v>11295.3</v>
      </c>
      <c r="AX26" s="13">
        <f t="shared" si="28"/>
        <v>2.9999999999563443</v>
      </c>
      <c r="AY26" s="256">
        <v>2428.7</v>
      </c>
      <c r="AZ26" s="13">
        <f t="shared" si="29"/>
        <v>1.999999999998181</v>
      </c>
      <c r="BA26" s="318"/>
      <c r="BB26" s="266">
        <f t="shared" si="30"/>
        <v>0</v>
      </c>
      <c r="BC26" s="318"/>
      <c r="BD26" s="266">
        <f t="shared" si="31"/>
        <v>0</v>
      </c>
      <c r="BE26" s="318"/>
      <c r="BF26" s="266">
        <f t="shared" si="32"/>
        <v>0</v>
      </c>
      <c r="BG26" s="318"/>
      <c r="BH26" s="266">
        <f t="shared" si="33"/>
        <v>0</v>
      </c>
      <c r="BI26" s="318"/>
      <c r="BJ26" s="266">
        <f t="shared" si="34"/>
        <v>0</v>
      </c>
      <c r="BK26" s="318"/>
      <c r="BL26" s="266">
        <f t="shared" si="35"/>
        <v>0</v>
      </c>
      <c r="BN26" s="5">
        <v>19</v>
      </c>
      <c r="BO26" s="311">
        <v>8998.3</v>
      </c>
      <c r="BP26" s="232">
        <f t="shared" si="36"/>
        <v>0</v>
      </c>
      <c r="BQ26" s="311">
        <v>4674.1</v>
      </c>
      <c r="BR26" s="232">
        <f t="shared" si="37"/>
        <v>0</v>
      </c>
      <c r="BS26" s="312">
        <v>4652.2</v>
      </c>
      <c r="BT26" s="232">
        <f t="shared" si="38"/>
        <v>0</v>
      </c>
      <c r="BU26" s="313">
        <v>4619.7</v>
      </c>
      <c r="BV26" s="415">
        <f t="shared" si="39"/>
        <v>0</v>
      </c>
      <c r="BW26" s="49"/>
      <c r="BX26" s="425">
        <v>19</v>
      </c>
      <c r="BY26" s="417">
        <v>16506.5</v>
      </c>
      <c r="BZ26" s="14">
        <f t="shared" si="40"/>
        <v>0</v>
      </c>
      <c r="CA26" s="226">
        <v>6239.4</v>
      </c>
      <c r="CB26" s="13">
        <f t="shared" si="41"/>
        <v>1.999999999989086</v>
      </c>
      <c r="CC26" s="7">
        <v>18446.8</v>
      </c>
      <c r="CD26" s="13">
        <f t="shared" si="16"/>
        <v>3.9999999999417923</v>
      </c>
      <c r="CE26" s="322">
        <v>40338.6</v>
      </c>
      <c r="CF26" s="13">
        <f t="shared" si="42"/>
        <v>1.1999999999970896</v>
      </c>
      <c r="CG26" s="227">
        <v>29449.4</v>
      </c>
      <c r="CH26" s="13">
        <f t="shared" si="17"/>
        <v>24.00000000023283</v>
      </c>
      <c r="CI26" s="321">
        <v>28263.522</v>
      </c>
      <c r="CJ26" s="13">
        <f t="shared" si="18"/>
        <v>8.989999999976135</v>
      </c>
      <c r="CK26" s="321">
        <v>75985.6</v>
      </c>
      <c r="CL26" s="13">
        <f t="shared" si="19"/>
        <v>1.9000000000087311</v>
      </c>
      <c r="CM26" s="230"/>
      <c r="CN26" s="13">
        <f t="shared" si="20"/>
        <v>0</v>
      </c>
      <c r="CO26" s="230">
        <v>5892.119000000001</v>
      </c>
      <c r="CP26" s="13">
        <f t="shared" si="43"/>
        <v>9.240000000027067</v>
      </c>
      <c r="CQ26" s="321"/>
      <c r="CR26" s="13">
        <f t="shared" si="45"/>
        <v>0</v>
      </c>
      <c r="CS26" s="436"/>
      <c r="CT26" s="437">
        <f t="shared" si="44"/>
        <v>0</v>
      </c>
      <c r="CU26" s="434"/>
      <c r="CV26" s="437">
        <f t="shared" si="44"/>
        <v>0</v>
      </c>
      <c r="CW26" s="436"/>
      <c r="CX26" s="437">
        <f t="shared" si="46"/>
        <v>0</v>
      </c>
    </row>
    <row r="27" spans="1:102" s="304" customFormat="1" ht="13.5" thickBot="1">
      <c r="A27" s="315">
        <v>20</v>
      </c>
      <c r="B27" s="323"/>
      <c r="C27" s="288">
        <f t="shared" si="23"/>
        <v>0</v>
      </c>
      <c r="D27" s="301"/>
      <c r="E27" s="288">
        <f t="shared" si="0"/>
        <v>0</v>
      </c>
      <c r="F27" s="154"/>
      <c r="G27" s="288">
        <f t="shared" si="1"/>
        <v>0</v>
      </c>
      <c r="H27" s="154"/>
      <c r="I27" s="288">
        <f t="shared" si="2"/>
        <v>0</v>
      </c>
      <c r="J27" s="154"/>
      <c r="K27" s="288">
        <f t="shared" si="3"/>
        <v>0</v>
      </c>
      <c r="L27" s="154"/>
      <c r="M27" s="288">
        <f t="shared" si="4"/>
        <v>0</v>
      </c>
      <c r="N27" s="290"/>
      <c r="O27" s="316">
        <v>8256.6</v>
      </c>
      <c r="P27" s="292">
        <f t="shared" si="24"/>
        <v>4.000000000014552</v>
      </c>
      <c r="Q27" s="302">
        <v>2661.3</v>
      </c>
      <c r="R27" s="333">
        <f t="shared" si="5"/>
        <v>0</v>
      </c>
      <c r="S27" s="338"/>
      <c r="T27" s="337">
        <f t="shared" si="6"/>
        <v>0</v>
      </c>
      <c r="U27" s="291"/>
      <c r="V27" s="333">
        <f t="shared" si="7"/>
        <v>0</v>
      </c>
      <c r="W27" s="338"/>
      <c r="X27" s="337">
        <f t="shared" si="8"/>
        <v>0</v>
      </c>
      <c r="Z27" s="317"/>
      <c r="AA27" s="288">
        <f t="shared" si="9"/>
        <v>0</v>
      </c>
      <c r="AB27" s="305">
        <v>6355.9</v>
      </c>
      <c r="AC27" s="288">
        <f t="shared" si="10"/>
        <v>3.999999999978172</v>
      </c>
      <c r="AD27" s="308">
        <v>3594.9</v>
      </c>
      <c r="AE27" s="288">
        <f t="shared" si="11"/>
        <v>3.999999999996362</v>
      </c>
      <c r="AF27" s="457">
        <v>4901.8</v>
      </c>
      <c r="AG27" s="13">
        <f aca="true" t="shared" si="47" ref="AG27:AG33">(AF27-AF26)*20</f>
        <v>0</v>
      </c>
      <c r="AH27" s="315">
        <v>5782.15</v>
      </c>
      <c r="AI27" s="13">
        <f aca="true" t="shared" si="48" ref="AI27:AI33">(AH27-AH26)*20</f>
        <v>5.199999999986176</v>
      </c>
      <c r="AJ27" s="451"/>
      <c r="AK27" s="288">
        <f t="shared" si="26"/>
        <v>0</v>
      </c>
      <c r="AL27" s="301"/>
      <c r="AM27" s="288">
        <f t="shared" si="12"/>
        <v>0</v>
      </c>
      <c r="AN27" s="154"/>
      <c r="AO27" s="288">
        <f t="shared" si="13"/>
        <v>0</v>
      </c>
      <c r="AP27" s="154"/>
      <c r="AQ27" s="288">
        <f t="shared" si="14"/>
        <v>0</v>
      </c>
      <c r="AR27" s="154"/>
      <c r="AS27" s="288">
        <f t="shared" si="15"/>
        <v>0</v>
      </c>
      <c r="AT27" s="310"/>
      <c r="AU27" s="300">
        <v>13592.6</v>
      </c>
      <c r="AV27" s="13">
        <f aca="true" t="shared" si="49" ref="AV27:AV33">(AU27-AU26)*15</f>
        <v>3.000000000010914</v>
      </c>
      <c r="AW27" s="257">
        <v>11295.6</v>
      </c>
      <c r="AX27" s="13">
        <f>(AW27-AW26)*30</f>
        <v>9.000000000032742</v>
      </c>
      <c r="AY27" s="256">
        <v>2428.7</v>
      </c>
      <c r="AZ27" s="13">
        <f t="shared" si="29"/>
        <v>0</v>
      </c>
      <c r="BA27" s="318"/>
      <c r="BB27" s="266">
        <f t="shared" si="30"/>
        <v>0</v>
      </c>
      <c r="BC27" s="318"/>
      <c r="BD27" s="266">
        <f t="shared" si="31"/>
        <v>0</v>
      </c>
      <c r="BE27" s="318"/>
      <c r="BF27" s="266">
        <f t="shared" si="32"/>
        <v>0</v>
      </c>
      <c r="BG27" s="318"/>
      <c r="BH27" s="266">
        <f t="shared" si="33"/>
        <v>0</v>
      </c>
      <c r="BI27" s="318"/>
      <c r="BJ27" s="266">
        <f t="shared" si="34"/>
        <v>0</v>
      </c>
      <c r="BK27" s="318"/>
      <c r="BL27" s="266">
        <f t="shared" si="35"/>
        <v>0</v>
      </c>
      <c r="BN27" s="5">
        <v>20</v>
      </c>
      <c r="BO27" s="311">
        <v>8998.3</v>
      </c>
      <c r="BP27" s="232">
        <f t="shared" si="36"/>
        <v>0</v>
      </c>
      <c r="BQ27" s="311">
        <v>4674.1</v>
      </c>
      <c r="BR27" s="232">
        <f t="shared" si="37"/>
        <v>0</v>
      </c>
      <c r="BS27" s="312">
        <v>4652.3</v>
      </c>
      <c r="BT27" s="232">
        <f t="shared" si="38"/>
        <v>6.000000000021828</v>
      </c>
      <c r="BU27" s="313">
        <v>4619.7</v>
      </c>
      <c r="BV27" s="415">
        <f t="shared" si="39"/>
        <v>0</v>
      </c>
      <c r="BW27" s="49"/>
      <c r="BX27" s="425">
        <v>20</v>
      </c>
      <c r="BY27" s="417">
        <v>16506.6</v>
      </c>
      <c r="BZ27" s="14">
        <f t="shared" si="40"/>
        <v>1.9999999999708962</v>
      </c>
      <c r="CA27" s="226">
        <v>6239.4</v>
      </c>
      <c r="CB27" s="13">
        <f t="shared" si="41"/>
        <v>0</v>
      </c>
      <c r="CC27" s="7">
        <v>18446.8</v>
      </c>
      <c r="CD27" s="13">
        <f t="shared" si="16"/>
        <v>0</v>
      </c>
      <c r="CE27" s="322">
        <v>40339.8</v>
      </c>
      <c r="CF27" s="13">
        <f t="shared" si="42"/>
        <v>1.2000000000043656</v>
      </c>
      <c r="CG27" s="227">
        <v>29449.7</v>
      </c>
      <c r="CH27" s="13">
        <f t="shared" si="17"/>
        <v>23.999999999941792</v>
      </c>
      <c r="CI27" s="321">
        <v>28263.894</v>
      </c>
      <c r="CJ27" s="13">
        <f t="shared" si="18"/>
        <v>7.439999999987776</v>
      </c>
      <c r="CK27" s="319">
        <v>75989.1</v>
      </c>
      <c r="CL27" s="13">
        <f t="shared" si="19"/>
        <v>3.5</v>
      </c>
      <c r="CM27" s="230"/>
      <c r="CN27" s="13">
        <f t="shared" si="20"/>
        <v>0</v>
      </c>
      <c r="CO27" s="230">
        <v>5892.266</v>
      </c>
      <c r="CP27" s="13">
        <f t="shared" si="43"/>
        <v>8.819999999941501</v>
      </c>
      <c r="CQ27" s="319"/>
      <c r="CR27" s="13">
        <f t="shared" si="45"/>
        <v>0</v>
      </c>
      <c r="CS27" s="436"/>
      <c r="CT27" s="437">
        <f t="shared" si="44"/>
        <v>0</v>
      </c>
      <c r="CU27" s="434"/>
      <c r="CV27" s="437">
        <f t="shared" si="44"/>
        <v>0</v>
      </c>
      <c r="CW27" s="438"/>
      <c r="CX27" s="437">
        <f t="shared" si="46"/>
        <v>0</v>
      </c>
    </row>
    <row r="28" spans="1:102" s="304" customFormat="1" ht="13.5" thickBot="1">
      <c r="A28" s="315">
        <v>21</v>
      </c>
      <c r="B28" s="323"/>
      <c r="C28" s="288">
        <f t="shared" si="23"/>
        <v>0</v>
      </c>
      <c r="D28" s="301"/>
      <c r="E28" s="288">
        <f t="shared" si="0"/>
        <v>0</v>
      </c>
      <c r="F28" s="154"/>
      <c r="G28" s="288">
        <f t="shared" si="1"/>
        <v>0</v>
      </c>
      <c r="H28" s="154"/>
      <c r="I28" s="288">
        <f t="shared" si="2"/>
        <v>0</v>
      </c>
      <c r="J28" s="154"/>
      <c r="K28" s="288">
        <f t="shared" si="3"/>
        <v>0</v>
      </c>
      <c r="L28" s="154"/>
      <c r="M28" s="288">
        <f t="shared" si="4"/>
        <v>0</v>
      </c>
      <c r="N28" s="290"/>
      <c r="O28" s="316">
        <v>8256.7</v>
      </c>
      <c r="P28" s="292">
        <f t="shared" si="24"/>
        <v>4.000000000014552</v>
      </c>
      <c r="Q28" s="302">
        <v>2661.4</v>
      </c>
      <c r="R28" s="333">
        <f t="shared" si="5"/>
        <v>3.999999999996362</v>
      </c>
      <c r="S28" s="338"/>
      <c r="T28" s="337">
        <f t="shared" si="6"/>
        <v>0</v>
      </c>
      <c r="U28" s="291"/>
      <c r="V28" s="333">
        <f t="shared" si="7"/>
        <v>0</v>
      </c>
      <c r="W28" s="338"/>
      <c r="X28" s="337">
        <f t="shared" si="8"/>
        <v>0</v>
      </c>
      <c r="Z28" s="317"/>
      <c r="AA28" s="288">
        <f t="shared" si="9"/>
        <v>0</v>
      </c>
      <c r="AB28" s="305">
        <v>6356</v>
      </c>
      <c r="AC28" s="288">
        <f t="shared" si="10"/>
        <v>4.000000000014552</v>
      </c>
      <c r="AD28" s="308">
        <v>3595</v>
      </c>
      <c r="AE28" s="288">
        <f t="shared" si="11"/>
        <v>3.999999999996362</v>
      </c>
      <c r="AF28" s="457">
        <v>4901.8</v>
      </c>
      <c r="AG28" s="13">
        <f t="shared" si="47"/>
        <v>0</v>
      </c>
      <c r="AH28" s="315">
        <v>5782.27</v>
      </c>
      <c r="AI28" s="13">
        <f t="shared" si="48"/>
        <v>2.400000000016007</v>
      </c>
      <c r="AJ28" s="451"/>
      <c r="AK28" s="288">
        <f t="shared" si="26"/>
        <v>0</v>
      </c>
      <c r="AL28" s="301"/>
      <c r="AM28" s="288">
        <f t="shared" si="12"/>
        <v>0</v>
      </c>
      <c r="AN28" s="154"/>
      <c r="AO28" s="288">
        <f t="shared" si="13"/>
        <v>0</v>
      </c>
      <c r="AP28" s="154"/>
      <c r="AQ28" s="288">
        <f t="shared" si="14"/>
        <v>0</v>
      </c>
      <c r="AR28" s="154"/>
      <c r="AS28" s="288">
        <f t="shared" si="15"/>
        <v>0</v>
      </c>
      <c r="AT28" s="310"/>
      <c r="AU28" s="300">
        <v>13592.7</v>
      </c>
      <c r="AV28" s="13">
        <f t="shared" si="49"/>
        <v>1.500000000005457</v>
      </c>
      <c r="AW28" s="257">
        <v>11295.7</v>
      </c>
      <c r="AX28" s="13">
        <f>(AW28-AW27)*30</f>
        <v>3.000000000010914</v>
      </c>
      <c r="AY28" s="256">
        <v>2428.8</v>
      </c>
      <c r="AZ28" s="13">
        <f t="shared" si="29"/>
        <v>2.000000000007276</v>
      </c>
      <c r="BA28" s="318"/>
      <c r="BB28" s="266">
        <f t="shared" si="30"/>
        <v>0</v>
      </c>
      <c r="BC28" s="318"/>
      <c r="BD28" s="266">
        <f t="shared" si="31"/>
        <v>0</v>
      </c>
      <c r="BE28" s="318"/>
      <c r="BF28" s="266">
        <f t="shared" si="32"/>
        <v>0</v>
      </c>
      <c r="BG28" s="318"/>
      <c r="BH28" s="266">
        <f t="shared" si="33"/>
        <v>0</v>
      </c>
      <c r="BI28" s="318"/>
      <c r="BJ28" s="266">
        <f t="shared" si="34"/>
        <v>0</v>
      </c>
      <c r="BK28" s="318"/>
      <c r="BL28" s="266">
        <f t="shared" si="35"/>
        <v>0</v>
      </c>
      <c r="BN28" s="5">
        <v>21</v>
      </c>
      <c r="BO28" s="311">
        <v>8998.3</v>
      </c>
      <c r="BP28" s="232">
        <f t="shared" si="36"/>
        <v>0</v>
      </c>
      <c r="BQ28" s="311">
        <v>4674.1</v>
      </c>
      <c r="BR28" s="232">
        <f t="shared" si="37"/>
        <v>0</v>
      </c>
      <c r="BS28" s="312">
        <v>4652.3</v>
      </c>
      <c r="BT28" s="232">
        <f t="shared" si="38"/>
        <v>0</v>
      </c>
      <c r="BU28" s="313">
        <v>4619.7</v>
      </c>
      <c r="BV28" s="415">
        <f t="shared" si="39"/>
        <v>0</v>
      </c>
      <c r="BW28" s="49"/>
      <c r="BX28" s="425">
        <v>21</v>
      </c>
      <c r="BY28" s="417">
        <v>16506.7</v>
      </c>
      <c r="BZ28" s="14">
        <f t="shared" si="40"/>
        <v>2.0000000000436557</v>
      </c>
      <c r="CA28" s="226">
        <v>6239.599999999999</v>
      </c>
      <c r="CB28" s="13">
        <f t="shared" si="41"/>
        <v>3.999999999996362</v>
      </c>
      <c r="CC28" s="7">
        <v>18446.9</v>
      </c>
      <c r="CD28" s="13">
        <f t="shared" si="16"/>
        <v>4.0000000000873115</v>
      </c>
      <c r="CE28" s="322">
        <v>40339.8</v>
      </c>
      <c r="CF28" s="13">
        <f t="shared" si="42"/>
        <v>0</v>
      </c>
      <c r="CG28" s="227">
        <v>29450.8</v>
      </c>
      <c r="CH28" s="13">
        <f t="shared" si="17"/>
        <v>87.99999999988358</v>
      </c>
      <c r="CI28" s="321">
        <v>28264.299</v>
      </c>
      <c r="CJ28" s="13">
        <f t="shared" si="18"/>
        <v>8.099999999976717</v>
      </c>
      <c r="CK28" s="319">
        <v>75991.5</v>
      </c>
      <c r="CL28" s="13">
        <f t="shared" si="19"/>
        <v>2.3999999999941792</v>
      </c>
      <c r="CM28" s="230"/>
      <c r="CN28" s="13">
        <f t="shared" si="20"/>
        <v>0</v>
      </c>
      <c r="CO28" s="230">
        <v>5892.42</v>
      </c>
      <c r="CP28" s="13">
        <f t="shared" si="43"/>
        <v>9.240000000027067</v>
      </c>
      <c r="CQ28" s="319"/>
      <c r="CR28" s="13">
        <f t="shared" si="45"/>
        <v>0</v>
      </c>
      <c r="CS28" s="436"/>
      <c r="CT28" s="437">
        <f t="shared" si="44"/>
        <v>0</v>
      </c>
      <c r="CU28" s="434"/>
      <c r="CV28" s="437">
        <f t="shared" si="44"/>
        <v>0</v>
      </c>
      <c r="CW28" s="438"/>
      <c r="CX28" s="437">
        <f t="shared" si="46"/>
        <v>0</v>
      </c>
    </row>
    <row r="29" spans="1:102" s="304" customFormat="1" ht="12.75" customHeight="1" thickBot="1">
      <c r="A29" s="315">
        <v>22</v>
      </c>
      <c r="B29" s="323"/>
      <c r="C29" s="288">
        <f t="shared" si="23"/>
        <v>0</v>
      </c>
      <c r="D29" s="301"/>
      <c r="E29" s="288">
        <f t="shared" si="0"/>
        <v>0</v>
      </c>
      <c r="F29" s="154"/>
      <c r="G29" s="288">
        <f t="shared" si="1"/>
        <v>0</v>
      </c>
      <c r="H29" s="154"/>
      <c r="I29" s="288">
        <f t="shared" si="2"/>
        <v>0</v>
      </c>
      <c r="J29" s="154"/>
      <c r="K29" s="288">
        <f t="shared" si="3"/>
        <v>0</v>
      </c>
      <c r="L29" s="154"/>
      <c r="M29" s="288">
        <f t="shared" si="4"/>
        <v>0</v>
      </c>
      <c r="N29" s="290"/>
      <c r="O29" s="316">
        <v>8256.7</v>
      </c>
      <c r="P29" s="292">
        <f t="shared" si="24"/>
        <v>0</v>
      </c>
      <c r="Q29" s="302">
        <v>2661.4</v>
      </c>
      <c r="R29" s="333">
        <f t="shared" si="5"/>
        <v>0</v>
      </c>
      <c r="S29" s="338"/>
      <c r="T29" s="337">
        <f t="shared" si="6"/>
        <v>0</v>
      </c>
      <c r="U29" s="291"/>
      <c r="V29" s="333">
        <f t="shared" si="7"/>
        <v>0</v>
      </c>
      <c r="W29" s="338"/>
      <c r="X29" s="337">
        <f t="shared" si="8"/>
        <v>0</v>
      </c>
      <c r="Z29" s="317"/>
      <c r="AA29" s="288">
        <f t="shared" si="9"/>
        <v>0</v>
      </c>
      <c r="AB29" s="305">
        <v>6356.1</v>
      </c>
      <c r="AC29" s="288">
        <f t="shared" si="10"/>
        <v>4.000000000014552</v>
      </c>
      <c r="AD29" s="308">
        <v>3595</v>
      </c>
      <c r="AE29" s="288">
        <f t="shared" si="11"/>
        <v>0</v>
      </c>
      <c r="AF29" s="457">
        <v>4901.9</v>
      </c>
      <c r="AG29" s="13">
        <f t="shared" si="47"/>
        <v>1.999999999989086</v>
      </c>
      <c r="AH29" s="315">
        <v>5782.43</v>
      </c>
      <c r="AI29" s="13">
        <f t="shared" si="48"/>
        <v>3.1999999999970896</v>
      </c>
      <c r="AJ29" s="451"/>
      <c r="AK29" s="288">
        <f t="shared" si="26"/>
        <v>0</v>
      </c>
      <c r="AL29" s="301"/>
      <c r="AM29" s="288">
        <f t="shared" si="12"/>
        <v>0</v>
      </c>
      <c r="AN29" s="154"/>
      <c r="AO29" s="288">
        <f t="shared" si="13"/>
        <v>0</v>
      </c>
      <c r="AP29" s="154"/>
      <c r="AQ29" s="288">
        <f t="shared" si="14"/>
        <v>0</v>
      </c>
      <c r="AR29" s="154"/>
      <c r="AS29" s="288">
        <f t="shared" si="15"/>
        <v>0</v>
      </c>
      <c r="AT29" s="310"/>
      <c r="AU29" s="300">
        <v>13592.8</v>
      </c>
      <c r="AV29" s="13">
        <f t="shared" si="49"/>
        <v>1.4999999999781721</v>
      </c>
      <c r="AW29" s="257">
        <v>11295.8</v>
      </c>
      <c r="AX29" s="13">
        <f>(AW29-AW28)*30</f>
        <v>2.9999999999563443</v>
      </c>
      <c r="AY29" s="256">
        <v>2428.9</v>
      </c>
      <c r="AZ29" s="13">
        <f t="shared" si="29"/>
        <v>1.999999999998181</v>
      </c>
      <c r="BA29" s="318"/>
      <c r="BB29" s="266">
        <f t="shared" si="30"/>
        <v>0</v>
      </c>
      <c r="BC29" s="318"/>
      <c r="BD29" s="266">
        <f t="shared" si="31"/>
        <v>0</v>
      </c>
      <c r="BE29" s="318"/>
      <c r="BF29" s="266">
        <f t="shared" si="32"/>
        <v>0</v>
      </c>
      <c r="BG29" s="318"/>
      <c r="BH29" s="266">
        <f t="shared" si="33"/>
        <v>0</v>
      </c>
      <c r="BI29" s="318"/>
      <c r="BJ29" s="266">
        <f t="shared" si="34"/>
        <v>0</v>
      </c>
      <c r="BK29" s="318"/>
      <c r="BL29" s="266">
        <f t="shared" si="35"/>
        <v>0</v>
      </c>
      <c r="BN29" s="5">
        <v>22</v>
      </c>
      <c r="BO29" s="311">
        <v>8998.3</v>
      </c>
      <c r="BP29" s="232">
        <f t="shared" si="36"/>
        <v>0</v>
      </c>
      <c r="BQ29" s="311">
        <v>4674.2</v>
      </c>
      <c r="BR29" s="232">
        <f t="shared" si="37"/>
        <v>5.999999999967258</v>
      </c>
      <c r="BS29" s="312">
        <v>4652.3</v>
      </c>
      <c r="BT29" s="232">
        <f t="shared" si="38"/>
        <v>0</v>
      </c>
      <c r="BU29" s="313">
        <v>4619.7</v>
      </c>
      <c r="BV29" s="415">
        <f t="shared" si="39"/>
        <v>0</v>
      </c>
      <c r="BW29" s="49"/>
      <c r="BX29" s="425">
        <v>22</v>
      </c>
      <c r="BY29" s="417">
        <v>16506.7</v>
      </c>
      <c r="BZ29" s="14">
        <f t="shared" si="40"/>
        <v>0</v>
      </c>
      <c r="CA29" s="226">
        <v>6239.599999999999</v>
      </c>
      <c r="CB29" s="13">
        <f t="shared" si="41"/>
        <v>0</v>
      </c>
      <c r="CC29" s="7">
        <v>18446.9</v>
      </c>
      <c r="CD29" s="13">
        <f t="shared" si="16"/>
        <v>0</v>
      </c>
      <c r="CE29" s="322">
        <v>40339.8</v>
      </c>
      <c r="CF29" s="13">
        <f t="shared" si="42"/>
        <v>0</v>
      </c>
      <c r="CG29" s="227">
        <v>29450.9</v>
      </c>
      <c r="CH29" s="13">
        <f t="shared" si="17"/>
        <v>8.000000000174623</v>
      </c>
      <c r="CI29" s="321">
        <v>28264.7255</v>
      </c>
      <c r="CJ29" s="13">
        <f t="shared" si="18"/>
        <v>8.53000000002794</v>
      </c>
      <c r="CK29" s="319">
        <v>75992.6</v>
      </c>
      <c r="CL29" s="13">
        <f t="shared" si="19"/>
        <v>1.1000000000058208</v>
      </c>
      <c r="CM29" s="230"/>
      <c r="CN29" s="13">
        <f t="shared" si="20"/>
        <v>0</v>
      </c>
      <c r="CO29" s="230">
        <v>5892.58</v>
      </c>
      <c r="CP29" s="13">
        <f t="shared" si="43"/>
        <v>9.599999999991269</v>
      </c>
      <c r="CQ29" s="319"/>
      <c r="CR29" s="13">
        <f t="shared" si="45"/>
        <v>0</v>
      </c>
      <c r="CS29" s="436"/>
      <c r="CT29" s="437">
        <f t="shared" si="44"/>
        <v>0</v>
      </c>
      <c r="CU29" s="434"/>
      <c r="CV29" s="437">
        <f t="shared" si="44"/>
        <v>0</v>
      </c>
      <c r="CW29" s="438"/>
      <c r="CX29" s="437">
        <f t="shared" si="46"/>
        <v>0</v>
      </c>
    </row>
    <row r="30" spans="1:102" s="304" customFormat="1" ht="13.5" thickBot="1">
      <c r="A30" s="315">
        <v>23</v>
      </c>
      <c r="B30" s="323"/>
      <c r="C30" s="288">
        <f t="shared" si="23"/>
        <v>0</v>
      </c>
      <c r="D30" s="301"/>
      <c r="E30" s="288">
        <f t="shared" si="0"/>
        <v>0</v>
      </c>
      <c r="F30" s="154"/>
      <c r="G30" s="288">
        <f t="shared" si="1"/>
        <v>0</v>
      </c>
      <c r="H30" s="154"/>
      <c r="I30" s="288">
        <f t="shared" si="2"/>
        <v>0</v>
      </c>
      <c r="J30" s="154"/>
      <c r="K30" s="288">
        <f t="shared" si="3"/>
        <v>0</v>
      </c>
      <c r="L30" s="154"/>
      <c r="M30" s="288">
        <f t="shared" si="4"/>
        <v>0</v>
      </c>
      <c r="N30" s="290"/>
      <c r="O30" s="316">
        <v>8256.7</v>
      </c>
      <c r="P30" s="292">
        <f t="shared" si="24"/>
        <v>0</v>
      </c>
      <c r="Q30" s="302">
        <v>2661.5</v>
      </c>
      <c r="R30" s="333">
        <f t="shared" si="5"/>
        <v>3.999999999996362</v>
      </c>
      <c r="S30" s="338"/>
      <c r="T30" s="337">
        <f t="shared" si="6"/>
        <v>0</v>
      </c>
      <c r="U30" s="291"/>
      <c r="V30" s="333">
        <f t="shared" si="7"/>
        <v>0</v>
      </c>
      <c r="W30" s="338"/>
      <c r="X30" s="337">
        <f t="shared" si="8"/>
        <v>0</v>
      </c>
      <c r="Z30" s="317"/>
      <c r="AA30" s="288">
        <f t="shared" si="9"/>
        <v>0</v>
      </c>
      <c r="AB30" s="305">
        <v>6356.1</v>
      </c>
      <c r="AC30" s="288">
        <f t="shared" si="10"/>
        <v>0</v>
      </c>
      <c r="AD30" s="308">
        <v>3595.1</v>
      </c>
      <c r="AE30" s="288">
        <f t="shared" si="11"/>
        <v>3.999999999996362</v>
      </c>
      <c r="AF30" s="457">
        <v>4901.9</v>
      </c>
      <c r="AG30" s="13">
        <f t="shared" si="47"/>
        <v>0</v>
      </c>
      <c r="AH30" s="315">
        <v>5782.55</v>
      </c>
      <c r="AI30" s="13">
        <f t="shared" si="48"/>
        <v>2.399999999997817</v>
      </c>
      <c r="AJ30" s="451"/>
      <c r="AK30" s="288">
        <f t="shared" si="26"/>
        <v>0</v>
      </c>
      <c r="AL30" s="301"/>
      <c r="AM30" s="288">
        <f t="shared" si="12"/>
        <v>0</v>
      </c>
      <c r="AN30" s="154"/>
      <c r="AO30" s="288">
        <f t="shared" si="13"/>
        <v>0</v>
      </c>
      <c r="AP30" s="154"/>
      <c r="AQ30" s="288">
        <f t="shared" si="14"/>
        <v>0</v>
      </c>
      <c r="AR30" s="154"/>
      <c r="AS30" s="288">
        <f t="shared" si="15"/>
        <v>0</v>
      </c>
      <c r="AT30" s="310"/>
      <c r="AU30" s="300">
        <v>13592.9</v>
      </c>
      <c r="AV30" s="13">
        <f t="shared" si="49"/>
        <v>1.500000000005457</v>
      </c>
      <c r="AW30" s="257">
        <v>11295.9</v>
      </c>
      <c r="AX30" s="13">
        <f>(AW30-AW29)*30</f>
        <v>3.000000000010914</v>
      </c>
      <c r="AY30" s="256">
        <v>2429</v>
      </c>
      <c r="AZ30" s="13">
        <f t="shared" si="29"/>
        <v>1.999999999998181</v>
      </c>
      <c r="BA30" s="318"/>
      <c r="BB30" s="266">
        <f t="shared" si="30"/>
        <v>0</v>
      </c>
      <c r="BC30" s="318"/>
      <c r="BD30" s="266">
        <f t="shared" si="31"/>
        <v>0</v>
      </c>
      <c r="BE30" s="318"/>
      <c r="BF30" s="266">
        <f t="shared" si="32"/>
        <v>0</v>
      </c>
      <c r="BG30" s="318"/>
      <c r="BH30" s="266">
        <f t="shared" si="33"/>
        <v>0</v>
      </c>
      <c r="BI30" s="318"/>
      <c r="BJ30" s="266">
        <f t="shared" si="34"/>
        <v>0</v>
      </c>
      <c r="BK30" s="318"/>
      <c r="BL30" s="266">
        <f t="shared" si="35"/>
        <v>0</v>
      </c>
      <c r="BN30" s="5">
        <v>23</v>
      </c>
      <c r="BO30" s="311">
        <v>8998.3</v>
      </c>
      <c r="BP30" s="232">
        <f t="shared" si="36"/>
        <v>0</v>
      </c>
      <c r="BQ30" s="311">
        <v>4674.2</v>
      </c>
      <c r="BR30" s="232">
        <f t="shared" si="37"/>
        <v>0</v>
      </c>
      <c r="BS30" s="312">
        <v>4652.3</v>
      </c>
      <c r="BT30" s="232">
        <f t="shared" si="38"/>
        <v>0</v>
      </c>
      <c r="BU30" s="313">
        <v>4619.7</v>
      </c>
      <c r="BV30" s="415">
        <f t="shared" si="39"/>
        <v>0</v>
      </c>
      <c r="BW30" s="49"/>
      <c r="BX30" s="425">
        <v>23</v>
      </c>
      <c r="BY30" s="417">
        <v>16506.7</v>
      </c>
      <c r="BZ30" s="14">
        <f t="shared" si="40"/>
        <v>0</v>
      </c>
      <c r="CA30" s="226">
        <v>6239.599999999999</v>
      </c>
      <c r="CB30" s="13">
        <f t="shared" si="41"/>
        <v>0</v>
      </c>
      <c r="CC30" s="7">
        <v>18447.1</v>
      </c>
      <c r="CD30" s="13">
        <f t="shared" si="16"/>
        <v>7.999999999883585</v>
      </c>
      <c r="CE30" s="322">
        <v>40339.9</v>
      </c>
      <c r="CF30" s="13">
        <f t="shared" si="42"/>
        <v>0.09999999999854481</v>
      </c>
      <c r="CG30" s="227">
        <v>29451.8</v>
      </c>
      <c r="CH30" s="13">
        <f t="shared" si="17"/>
        <v>71.99999999982538</v>
      </c>
      <c r="CI30" s="321">
        <v>28265.163</v>
      </c>
      <c r="CJ30" s="13">
        <f t="shared" si="18"/>
        <v>8.75</v>
      </c>
      <c r="CK30" s="319">
        <v>75992.6</v>
      </c>
      <c r="CL30" s="13">
        <f t="shared" si="19"/>
        <v>0</v>
      </c>
      <c r="CM30" s="230"/>
      <c r="CN30" s="13">
        <f t="shared" si="20"/>
        <v>0</v>
      </c>
      <c r="CO30" s="230">
        <v>5892.719999999999</v>
      </c>
      <c r="CP30" s="13">
        <f t="shared" si="43"/>
        <v>8.399999999965075</v>
      </c>
      <c r="CQ30" s="319"/>
      <c r="CR30" s="13">
        <f t="shared" si="45"/>
        <v>0</v>
      </c>
      <c r="CS30" s="436"/>
      <c r="CT30" s="437">
        <f t="shared" si="44"/>
        <v>0</v>
      </c>
      <c r="CU30" s="434"/>
      <c r="CV30" s="437">
        <f t="shared" si="44"/>
        <v>0</v>
      </c>
      <c r="CW30" s="438"/>
      <c r="CX30" s="437">
        <f t="shared" si="46"/>
        <v>0</v>
      </c>
    </row>
    <row r="31" spans="1:102" s="304" customFormat="1" ht="13.5" thickBot="1">
      <c r="A31" s="315">
        <v>24</v>
      </c>
      <c r="B31" s="323"/>
      <c r="C31" s="288">
        <f t="shared" si="23"/>
        <v>0</v>
      </c>
      <c r="D31" s="301"/>
      <c r="E31" s="288">
        <f t="shared" si="0"/>
        <v>0</v>
      </c>
      <c r="F31" s="154"/>
      <c r="G31" s="288">
        <f t="shared" si="1"/>
        <v>0</v>
      </c>
      <c r="H31" s="154"/>
      <c r="I31" s="288">
        <f t="shared" si="2"/>
        <v>0</v>
      </c>
      <c r="J31" s="154"/>
      <c r="K31" s="288">
        <f t="shared" si="3"/>
        <v>0</v>
      </c>
      <c r="L31" s="154"/>
      <c r="M31" s="288">
        <f t="shared" si="4"/>
        <v>0</v>
      </c>
      <c r="N31" s="290"/>
      <c r="O31" s="316">
        <v>8256.8</v>
      </c>
      <c r="P31" s="292">
        <f t="shared" si="24"/>
        <v>3.9999999999417923</v>
      </c>
      <c r="Q31" s="302">
        <v>2661.5</v>
      </c>
      <c r="R31" s="333">
        <f t="shared" si="5"/>
        <v>0</v>
      </c>
      <c r="S31" s="338"/>
      <c r="T31" s="337">
        <f t="shared" si="6"/>
        <v>0</v>
      </c>
      <c r="U31" s="291"/>
      <c r="V31" s="333">
        <f t="shared" si="7"/>
        <v>0</v>
      </c>
      <c r="W31" s="338"/>
      <c r="X31" s="337">
        <f t="shared" si="8"/>
        <v>0</v>
      </c>
      <c r="Z31" s="317"/>
      <c r="AA31" s="288">
        <f t="shared" si="9"/>
        <v>0</v>
      </c>
      <c r="AB31" s="305">
        <v>6356.2</v>
      </c>
      <c r="AC31" s="288">
        <f t="shared" si="10"/>
        <v>3.999999999978172</v>
      </c>
      <c r="AD31" s="308">
        <v>3595.1</v>
      </c>
      <c r="AE31" s="288">
        <f t="shared" si="11"/>
        <v>0</v>
      </c>
      <c r="AF31" s="457">
        <v>4902</v>
      </c>
      <c r="AG31" s="13">
        <f t="shared" si="47"/>
        <v>2.000000000007276</v>
      </c>
      <c r="AH31" s="315">
        <v>5782.62</v>
      </c>
      <c r="AI31" s="13">
        <f t="shared" si="48"/>
        <v>1.3999999999941792</v>
      </c>
      <c r="AJ31" s="451"/>
      <c r="AK31" s="288">
        <f t="shared" si="26"/>
        <v>0</v>
      </c>
      <c r="AL31" s="301"/>
      <c r="AM31" s="288">
        <f t="shared" si="12"/>
        <v>0</v>
      </c>
      <c r="AN31" s="154"/>
      <c r="AO31" s="288">
        <f t="shared" si="13"/>
        <v>0</v>
      </c>
      <c r="AP31" s="154"/>
      <c r="AQ31" s="288">
        <f t="shared" si="14"/>
        <v>0</v>
      </c>
      <c r="AR31" s="154"/>
      <c r="AS31" s="288">
        <f t="shared" si="15"/>
        <v>0</v>
      </c>
      <c r="AT31" s="310"/>
      <c r="AU31" s="300">
        <v>13593.1</v>
      </c>
      <c r="AV31" s="13">
        <f t="shared" si="49"/>
        <v>3.000000000010914</v>
      </c>
      <c r="AW31" s="257">
        <v>11295.9</v>
      </c>
      <c r="AX31" s="13">
        <f t="shared" si="28"/>
        <v>0</v>
      </c>
      <c r="AY31" s="256">
        <v>2429</v>
      </c>
      <c r="AZ31" s="13">
        <f t="shared" si="29"/>
        <v>0</v>
      </c>
      <c r="BA31" s="318"/>
      <c r="BB31" s="266">
        <f t="shared" si="30"/>
        <v>0</v>
      </c>
      <c r="BC31" s="318"/>
      <c r="BD31" s="266">
        <f t="shared" si="31"/>
        <v>0</v>
      </c>
      <c r="BE31" s="318"/>
      <c r="BF31" s="266">
        <f t="shared" si="32"/>
        <v>0</v>
      </c>
      <c r="BG31" s="452"/>
      <c r="BH31" s="266">
        <f t="shared" si="33"/>
        <v>0</v>
      </c>
      <c r="BI31" s="318"/>
      <c r="BJ31" s="266">
        <f t="shared" si="34"/>
        <v>0</v>
      </c>
      <c r="BK31" s="318"/>
      <c r="BL31" s="266">
        <f t="shared" si="35"/>
        <v>0</v>
      </c>
      <c r="BN31" s="5">
        <v>24</v>
      </c>
      <c r="BO31" s="311">
        <v>8998.3</v>
      </c>
      <c r="BP31" s="232">
        <f t="shared" si="36"/>
        <v>0</v>
      </c>
      <c r="BQ31" s="311">
        <v>4674.2</v>
      </c>
      <c r="BR31" s="232">
        <f t="shared" si="37"/>
        <v>0</v>
      </c>
      <c r="BS31" s="312">
        <v>4652.3</v>
      </c>
      <c r="BT31" s="232">
        <f t="shared" si="38"/>
        <v>0</v>
      </c>
      <c r="BU31" s="313">
        <v>4619.7</v>
      </c>
      <c r="BV31" s="415">
        <f t="shared" si="39"/>
        <v>0</v>
      </c>
      <c r="BW31" s="49"/>
      <c r="BX31" s="425">
        <v>24</v>
      </c>
      <c r="BY31" s="417">
        <v>16506.7</v>
      </c>
      <c r="BZ31" s="14">
        <f t="shared" si="40"/>
        <v>0</v>
      </c>
      <c r="CA31" s="226">
        <v>6239.7</v>
      </c>
      <c r="CB31" s="13">
        <f t="shared" si="41"/>
        <v>2.000000000007276</v>
      </c>
      <c r="CC31" s="7">
        <v>18447.1</v>
      </c>
      <c r="CD31" s="13">
        <f t="shared" si="16"/>
        <v>0</v>
      </c>
      <c r="CE31" s="322">
        <v>40339.9</v>
      </c>
      <c r="CF31" s="13">
        <f t="shared" si="42"/>
        <v>0</v>
      </c>
      <c r="CG31" s="227">
        <v>29452.4</v>
      </c>
      <c r="CH31" s="13">
        <f t="shared" si="17"/>
        <v>48.00000000017462</v>
      </c>
      <c r="CI31" s="319">
        <v>28265.540999999997</v>
      </c>
      <c r="CJ31" s="13">
        <f t="shared" si="18"/>
        <v>7.559999999939464</v>
      </c>
      <c r="CK31" s="319">
        <v>75992.6</v>
      </c>
      <c r="CL31" s="13">
        <f t="shared" si="19"/>
        <v>0</v>
      </c>
      <c r="CM31" s="230"/>
      <c r="CN31" s="13">
        <f t="shared" si="20"/>
        <v>0</v>
      </c>
      <c r="CO31" s="230">
        <v>5892.853</v>
      </c>
      <c r="CP31" s="13">
        <f t="shared" si="43"/>
        <v>7.980000000043219</v>
      </c>
      <c r="CQ31" s="319"/>
      <c r="CR31" s="13">
        <f t="shared" si="45"/>
        <v>0</v>
      </c>
      <c r="CS31" s="436"/>
      <c r="CT31" s="437">
        <f t="shared" si="44"/>
        <v>0</v>
      </c>
      <c r="CU31" s="434"/>
      <c r="CV31" s="437">
        <f t="shared" si="44"/>
        <v>0</v>
      </c>
      <c r="CW31" s="438"/>
      <c r="CX31" s="437">
        <f t="shared" si="46"/>
        <v>0</v>
      </c>
    </row>
    <row r="32" spans="1:102" s="304" customFormat="1" ht="13.5" thickBot="1">
      <c r="A32" s="315">
        <v>1</v>
      </c>
      <c r="B32" s="323"/>
      <c r="C32" s="288">
        <f t="shared" si="23"/>
        <v>0</v>
      </c>
      <c r="D32" s="301"/>
      <c r="E32" s="288">
        <f t="shared" si="0"/>
        <v>0</v>
      </c>
      <c r="F32" s="154"/>
      <c r="G32" s="288">
        <f t="shared" si="1"/>
        <v>0</v>
      </c>
      <c r="H32" s="154"/>
      <c r="I32" s="288">
        <f t="shared" si="2"/>
        <v>0</v>
      </c>
      <c r="J32" s="154"/>
      <c r="K32" s="288">
        <f t="shared" si="3"/>
        <v>0</v>
      </c>
      <c r="L32" s="154"/>
      <c r="M32" s="288">
        <f t="shared" si="4"/>
        <v>0</v>
      </c>
      <c r="N32" s="290"/>
      <c r="O32" s="316">
        <v>8256.8</v>
      </c>
      <c r="P32" s="292">
        <f t="shared" si="24"/>
        <v>0</v>
      </c>
      <c r="Q32" s="302">
        <v>2661.6</v>
      </c>
      <c r="R32" s="333">
        <f t="shared" si="5"/>
        <v>3.999999999996362</v>
      </c>
      <c r="S32" s="338"/>
      <c r="T32" s="337">
        <f t="shared" si="6"/>
        <v>0</v>
      </c>
      <c r="U32" s="291"/>
      <c r="V32" s="333">
        <f t="shared" si="7"/>
        <v>0</v>
      </c>
      <c r="W32" s="338"/>
      <c r="X32" s="337">
        <f t="shared" si="8"/>
        <v>0</v>
      </c>
      <c r="Z32" s="317"/>
      <c r="AA32" s="288">
        <f t="shared" si="9"/>
        <v>0</v>
      </c>
      <c r="AB32" s="305">
        <v>6356.2</v>
      </c>
      <c r="AC32" s="288">
        <f t="shared" si="10"/>
        <v>0</v>
      </c>
      <c r="AD32" s="308">
        <v>3595.2</v>
      </c>
      <c r="AE32" s="288">
        <f t="shared" si="11"/>
        <v>3.999999999996362</v>
      </c>
      <c r="AF32" s="457">
        <v>4902</v>
      </c>
      <c r="AG32" s="13">
        <f t="shared" si="47"/>
        <v>0</v>
      </c>
      <c r="AH32" s="315">
        <v>5782.83</v>
      </c>
      <c r="AI32" s="13">
        <f t="shared" si="48"/>
        <v>4.200000000000728</v>
      </c>
      <c r="AJ32" s="451"/>
      <c r="AK32" s="288">
        <f t="shared" si="26"/>
        <v>0</v>
      </c>
      <c r="AL32" s="301"/>
      <c r="AM32" s="288">
        <f t="shared" si="12"/>
        <v>0</v>
      </c>
      <c r="AN32" s="154"/>
      <c r="AO32" s="288">
        <f t="shared" si="13"/>
        <v>0</v>
      </c>
      <c r="AP32" s="154"/>
      <c r="AQ32" s="288">
        <f t="shared" si="14"/>
        <v>0</v>
      </c>
      <c r="AR32" s="154"/>
      <c r="AS32" s="288">
        <f t="shared" si="15"/>
        <v>0</v>
      </c>
      <c r="AT32" s="310"/>
      <c r="AU32" s="300">
        <v>13593.3</v>
      </c>
      <c r="AV32" s="13">
        <f t="shared" si="49"/>
        <v>2.999999999983629</v>
      </c>
      <c r="AW32" s="257">
        <v>11296</v>
      </c>
      <c r="AX32" s="13">
        <f t="shared" si="28"/>
        <v>3.000000000010914</v>
      </c>
      <c r="AY32" s="315">
        <v>2429.1</v>
      </c>
      <c r="AZ32" s="13">
        <f t="shared" si="29"/>
        <v>1.999999999998181</v>
      </c>
      <c r="BA32" s="318"/>
      <c r="BB32" s="266">
        <f t="shared" si="30"/>
        <v>0</v>
      </c>
      <c r="BC32" s="318"/>
      <c r="BD32" s="266">
        <f t="shared" si="31"/>
        <v>0</v>
      </c>
      <c r="BE32" s="318"/>
      <c r="BF32" s="266">
        <f t="shared" si="32"/>
        <v>0</v>
      </c>
      <c r="BG32" s="318"/>
      <c r="BH32" s="266">
        <f t="shared" si="33"/>
        <v>0</v>
      </c>
      <c r="BI32" s="318"/>
      <c r="BJ32" s="266">
        <f t="shared" si="34"/>
        <v>0</v>
      </c>
      <c r="BK32" s="318"/>
      <c r="BL32" s="266">
        <f t="shared" si="35"/>
        <v>0</v>
      </c>
      <c r="BN32" s="5">
        <v>1</v>
      </c>
      <c r="BO32" s="311">
        <v>8998.3</v>
      </c>
      <c r="BP32" s="232">
        <f t="shared" si="36"/>
        <v>0</v>
      </c>
      <c r="BQ32" s="311">
        <v>4674.2</v>
      </c>
      <c r="BR32" s="232">
        <f t="shared" si="37"/>
        <v>0</v>
      </c>
      <c r="BS32" s="312">
        <v>4652.3</v>
      </c>
      <c r="BT32" s="232">
        <f t="shared" si="38"/>
        <v>0</v>
      </c>
      <c r="BU32" s="313">
        <v>4619.7</v>
      </c>
      <c r="BV32" s="415">
        <f t="shared" si="39"/>
        <v>0</v>
      </c>
      <c r="BW32" s="49"/>
      <c r="BX32" s="425">
        <v>1</v>
      </c>
      <c r="BY32" s="417">
        <v>16506.7</v>
      </c>
      <c r="BZ32" s="14">
        <f t="shared" si="40"/>
        <v>0</v>
      </c>
      <c r="CA32" s="226">
        <v>6239.7</v>
      </c>
      <c r="CB32" s="13">
        <f t="shared" si="41"/>
        <v>0</v>
      </c>
      <c r="CC32" s="7">
        <v>18447.1</v>
      </c>
      <c r="CD32" s="13">
        <f t="shared" si="16"/>
        <v>0</v>
      </c>
      <c r="CE32" s="322">
        <v>40339.9</v>
      </c>
      <c r="CF32" s="13">
        <f t="shared" si="42"/>
        <v>0</v>
      </c>
      <c r="CG32" s="227">
        <v>29453.3</v>
      </c>
      <c r="CH32" s="13">
        <f t="shared" si="17"/>
        <v>71.99999999982538</v>
      </c>
      <c r="CI32" s="319">
        <v>28265.909</v>
      </c>
      <c r="CJ32" s="13">
        <f t="shared" si="18"/>
        <v>7.360000000044238</v>
      </c>
      <c r="CK32" s="319">
        <v>75992.6</v>
      </c>
      <c r="CL32" s="13">
        <f t="shared" si="19"/>
        <v>0</v>
      </c>
      <c r="CM32" s="230"/>
      <c r="CN32" s="13">
        <f t="shared" si="20"/>
        <v>0</v>
      </c>
      <c r="CO32" s="230">
        <v>5892.986</v>
      </c>
      <c r="CP32" s="13">
        <f t="shared" si="43"/>
        <v>7.9799999999886495</v>
      </c>
      <c r="CQ32" s="321"/>
      <c r="CR32" s="13">
        <f t="shared" si="45"/>
        <v>0</v>
      </c>
      <c r="CS32" s="436"/>
      <c r="CT32" s="437">
        <f t="shared" si="44"/>
        <v>0</v>
      </c>
      <c r="CU32" s="434"/>
      <c r="CV32" s="437">
        <f t="shared" si="44"/>
        <v>0</v>
      </c>
      <c r="CW32" s="436"/>
      <c r="CX32" s="437">
        <f t="shared" si="46"/>
        <v>0</v>
      </c>
    </row>
    <row r="33" spans="1:102" s="304" customFormat="1" ht="13.5" thickBot="1">
      <c r="A33" s="325">
        <v>2</v>
      </c>
      <c r="B33" s="323"/>
      <c r="C33" s="288">
        <f t="shared" si="23"/>
        <v>0</v>
      </c>
      <c r="D33" s="301"/>
      <c r="E33" s="288">
        <f t="shared" si="0"/>
        <v>0</v>
      </c>
      <c r="F33" s="154"/>
      <c r="G33" s="288">
        <f t="shared" si="1"/>
        <v>0</v>
      </c>
      <c r="H33" s="154"/>
      <c r="I33" s="288">
        <f t="shared" si="2"/>
        <v>0</v>
      </c>
      <c r="J33" s="154"/>
      <c r="K33" s="288">
        <f t="shared" si="3"/>
        <v>0</v>
      </c>
      <c r="L33" s="154"/>
      <c r="M33" s="288">
        <f t="shared" si="4"/>
        <v>0</v>
      </c>
      <c r="N33" s="290"/>
      <c r="O33" s="316">
        <v>8256.8</v>
      </c>
      <c r="P33" s="326">
        <f t="shared" si="24"/>
        <v>0</v>
      </c>
      <c r="Q33" s="302">
        <v>2661.6</v>
      </c>
      <c r="R33" s="334">
        <f t="shared" si="5"/>
        <v>0</v>
      </c>
      <c r="S33" s="338"/>
      <c r="T33" s="337">
        <f t="shared" si="6"/>
        <v>0</v>
      </c>
      <c r="U33" s="291"/>
      <c r="V33" s="333">
        <f t="shared" si="7"/>
        <v>0</v>
      </c>
      <c r="W33" s="339"/>
      <c r="X33" s="337">
        <f t="shared" si="8"/>
        <v>0</v>
      </c>
      <c r="Z33" s="317"/>
      <c r="AA33" s="327">
        <f t="shared" si="9"/>
        <v>0</v>
      </c>
      <c r="AB33" s="305">
        <v>6356.3</v>
      </c>
      <c r="AC33" s="327">
        <f t="shared" si="10"/>
        <v>4.000000000014552</v>
      </c>
      <c r="AD33" s="308">
        <v>3595.3</v>
      </c>
      <c r="AE33" s="327">
        <f t="shared" si="11"/>
        <v>4.000000000014552</v>
      </c>
      <c r="AF33" s="315">
        <v>4902.1</v>
      </c>
      <c r="AG33" s="13">
        <f t="shared" si="47"/>
        <v>2.000000000007276</v>
      </c>
      <c r="AH33" s="315">
        <v>5782.94</v>
      </c>
      <c r="AI33" s="13">
        <f t="shared" si="48"/>
        <v>2.1999999999934516</v>
      </c>
      <c r="AJ33" s="451"/>
      <c r="AK33" s="288">
        <f t="shared" si="26"/>
        <v>0</v>
      </c>
      <c r="AL33" s="301"/>
      <c r="AM33" s="288">
        <f t="shared" si="12"/>
        <v>0</v>
      </c>
      <c r="AN33" s="154"/>
      <c r="AO33" s="288">
        <f t="shared" si="13"/>
        <v>0</v>
      </c>
      <c r="AP33" s="154"/>
      <c r="AQ33" s="288">
        <f t="shared" si="14"/>
        <v>0</v>
      </c>
      <c r="AR33" s="154"/>
      <c r="AS33" s="288">
        <f t="shared" si="15"/>
        <v>0</v>
      </c>
      <c r="AT33" s="310"/>
      <c r="AU33" s="300">
        <v>13593.4</v>
      </c>
      <c r="AV33" s="13">
        <f t="shared" si="49"/>
        <v>1.500000000005457</v>
      </c>
      <c r="AW33" s="257">
        <v>11296</v>
      </c>
      <c r="AX33" s="13">
        <f t="shared" si="28"/>
        <v>0</v>
      </c>
      <c r="AY33" s="315">
        <v>2429.1</v>
      </c>
      <c r="AZ33" s="13">
        <f t="shared" si="29"/>
        <v>0</v>
      </c>
      <c r="BA33" s="328"/>
      <c r="BB33" s="266">
        <f t="shared" si="30"/>
        <v>0</v>
      </c>
      <c r="BC33" s="328"/>
      <c r="BD33" s="266">
        <f t="shared" si="31"/>
        <v>0</v>
      </c>
      <c r="BE33" s="328"/>
      <c r="BF33" s="266">
        <f t="shared" si="32"/>
        <v>0</v>
      </c>
      <c r="BG33" s="328"/>
      <c r="BH33" s="266">
        <f t="shared" si="33"/>
        <v>0</v>
      </c>
      <c r="BI33" s="328"/>
      <c r="BJ33" s="266">
        <f t="shared" si="34"/>
        <v>0</v>
      </c>
      <c r="BK33" s="328"/>
      <c r="BL33" s="266">
        <f t="shared" si="35"/>
        <v>0</v>
      </c>
      <c r="BN33" s="11">
        <v>2</v>
      </c>
      <c r="BO33" s="311">
        <v>8998.3</v>
      </c>
      <c r="BP33" s="232">
        <f t="shared" si="36"/>
        <v>0</v>
      </c>
      <c r="BQ33" s="311">
        <v>4674.2</v>
      </c>
      <c r="BR33" s="232">
        <f t="shared" si="37"/>
        <v>0</v>
      </c>
      <c r="BS33" s="312">
        <v>4652.3</v>
      </c>
      <c r="BT33" s="232">
        <f t="shared" si="38"/>
        <v>0</v>
      </c>
      <c r="BU33" s="313">
        <v>4619.7</v>
      </c>
      <c r="BV33" s="415">
        <f t="shared" si="39"/>
        <v>0</v>
      </c>
      <c r="BW33" s="49"/>
      <c r="BX33" s="426">
        <v>2</v>
      </c>
      <c r="BY33" s="417">
        <v>16506.7</v>
      </c>
      <c r="BZ33" s="14">
        <f t="shared" si="40"/>
        <v>0</v>
      </c>
      <c r="CA33" s="226">
        <v>6239.7</v>
      </c>
      <c r="CB33" s="13">
        <f t="shared" si="41"/>
        <v>0</v>
      </c>
      <c r="CC33" s="7">
        <v>18447.1</v>
      </c>
      <c r="CD33" s="13">
        <f t="shared" si="16"/>
        <v>0</v>
      </c>
      <c r="CE33" s="322">
        <v>40340</v>
      </c>
      <c r="CF33" s="13">
        <f t="shared" si="42"/>
        <v>0.09999999999854481</v>
      </c>
      <c r="CG33" s="227">
        <v>29454.6</v>
      </c>
      <c r="CH33" s="13">
        <f t="shared" si="17"/>
        <v>103.99999999994179</v>
      </c>
      <c r="CI33" s="319">
        <v>28266.2245</v>
      </c>
      <c r="CJ33" s="13">
        <f t="shared" si="18"/>
        <v>6.310000000012224</v>
      </c>
      <c r="CK33" s="319">
        <v>75992.6</v>
      </c>
      <c r="CL33" s="13">
        <f t="shared" si="19"/>
        <v>0</v>
      </c>
      <c r="CM33" s="230"/>
      <c r="CN33" s="13">
        <f t="shared" si="20"/>
        <v>0</v>
      </c>
      <c r="CO33" s="230">
        <v>5893.118</v>
      </c>
      <c r="CP33" s="13">
        <f t="shared" si="43"/>
        <v>7.920000000030996</v>
      </c>
      <c r="CQ33" s="329"/>
      <c r="CR33" s="13">
        <f t="shared" si="45"/>
        <v>0</v>
      </c>
      <c r="CS33" s="439"/>
      <c r="CT33" s="437">
        <f t="shared" si="44"/>
        <v>0</v>
      </c>
      <c r="CU33" s="434"/>
      <c r="CV33" s="437">
        <f t="shared" si="44"/>
        <v>0</v>
      </c>
      <c r="CW33" s="439"/>
      <c r="CX33" s="437">
        <f t="shared" si="46"/>
        <v>0</v>
      </c>
    </row>
    <row r="34" spans="1:102" ht="16.5" thickBot="1">
      <c r="A34" s="221" t="s">
        <v>14</v>
      </c>
      <c r="B34" s="21"/>
      <c r="C34" s="22">
        <f>SUM(C10:C33)</f>
        <v>0</v>
      </c>
      <c r="D34" s="21"/>
      <c r="E34" s="22">
        <f>SUM(E10:E33)</f>
        <v>0</v>
      </c>
      <c r="F34" s="21"/>
      <c r="G34" s="22">
        <f>SUM(G10:G33)</f>
        <v>0</v>
      </c>
      <c r="H34" s="21"/>
      <c r="I34" s="22">
        <f>SUM(I10:I33)</f>
        <v>0</v>
      </c>
      <c r="J34" s="21"/>
      <c r="K34" s="22">
        <f>SUM(K10:K33)</f>
        <v>0</v>
      </c>
      <c r="L34" s="21"/>
      <c r="M34" s="22">
        <f>SUM(M10:M33)</f>
        <v>0</v>
      </c>
      <c r="N34" s="66"/>
      <c r="O34" s="250"/>
      <c r="P34" s="251">
        <f>SUM(P10:P33)</f>
        <v>180</v>
      </c>
      <c r="Q34" s="250"/>
      <c r="R34" s="251">
        <f>SUM(R10:R33)</f>
        <v>60</v>
      </c>
      <c r="S34" s="335"/>
      <c r="T34" s="22">
        <f>SUM(T10:T33)</f>
        <v>0</v>
      </c>
      <c r="U34" s="21"/>
      <c r="V34" s="22">
        <f>SUM(V10:V33)</f>
        <v>0</v>
      </c>
      <c r="W34" s="335"/>
      <c r="X34" s="22">
        <f>SUM(X10:X33)</f>
        <v>0</v>
      </c>
      <c r="Y34" s="53"/>
      <c r="Z34" s="21"/>
      <c r="AA34" s="22">
        <f>SUM(AA10:AA33)</f>
        <v>0</v>
      </c>
      <c r="AB34" s="21"/>
      <c r="AC34" s="22">
        <f>SUM(AC10:AC33)</f>
        <v>76.00000000002183</v>
      </c>
      <c r="AD34" s="21"/>
      <c r="AE34" s="22">
        <f>SUM(AE10:AE33)</f>
        <v>56.00000000000364</v>
      </c>
      <c r="AF34" s="221"/>
      <c r="AG34" s="22">
        <f>SUM(AG10:AG33)</f>
        <v>24.000000000014552</v>
      </c>
      <c r="AH34" s="221"/>
      <c r="AI34" s="22">
        <f>SUM(AI10:AI33)</f>
        <v>110.79999999999927</v>
      </c>
      <c r="AJ34" s="250"/>
      <c r="AK34" s="251">
        <f>SUM(AK10:AK33)</f>
        <v>0</v>
      </c>
      <c r="AL34" s="250"/>
      <c r="AM34" s="251">
        <f>SUM(AM10:AM33)</f>
        <v>0</v>
      </c>
      <c r="AN34" s="250"/>
      <c r="AO34" s="251">
        <f>SUM(AO10:AO33)</f>
        <v>0</v>
      </c>
      <c r="AP34" s="250"/>
      <c r="AQ34" s="251">
        <f>SUM(AQ10:AQ33)</f>
        <v>0</v>
      </c>
      <c r="AR34" s="250"/>
      <c r="AS34" s="251">
        <f>SUM(AS10:AS33)</f>
        <v>0</v>
      </c>
      <c r="AT34" s="283"/>
      <c r="AU34" s="221"/>
      <c r="AV34" s="22">
        <f>SUM(AV10:AV33)</f>
        <v>80.99999999999454</v>
      </c>
      <c r="AW34" s="221"/>
      <c r="AX34" s="22">
        <f>SUM(AX10:AX33)</f>
        <v>86.99999999998909</v>
      </c>
      <c r="AY34" s="221"/>
      <c r="AZ34" s="22">
        <f>SUM(AZ10:AZ33)</f>
        <v>68.00000000000182</v>
      </c>
      <c r="BA34" s="66"/>
      <c r="BB34" s="66">
        <f>SUM(BB10:BB33)</f>
        <v>0</v>
      </c>
      <c r="BC34" s="66"/>
      <c r="BD34" s="66">
        <f>SUM(BD10:BD33)</f>
        <v>0</v>
      </c>
      <c r="BE34" s="66"/>
      <c r="BF34" s="66">
        <f>SUM(BF10:BF33)</f>
        <v>0</v>
      </c>
      <c r="BG34" s="66"/>
      <c r="BH34" s="66">
        <f>SUM(BH10:BH33)</f>
        <v>0</v>
      </c>
      <c r="BI34" s="66"/>
      <c r="BJ34" s="66">
        <f>SUM(BJ10:BJ33)</f>
        <v>0</v>
      </c>
      <c r="BK34" s="66"/>
      <c r="BL34" s="66">
        <f>SUM(BL10:BL33)</f>
        <v>0</v>
      </c>
      <c r="BM34" s="254"/>
      <c r="BN34" s="871" t="s">
        <v>61</v>
      </c>
      <c r="BO34" s="872"/>
      <c r="BP34" s="234">
        <f>SUM(BP9:BP33)</f>
        <v>137.99999999995634</v>
      </c>
      <c r="BQ34" s="10"/>
      <c r="BR34" s="234">
        <f>SUM(BR9:BR33)</f>
        <v>71.99999999998909</v>
      </c>
      <c r="BS34" s="10"/>
      <c r="BT34" s="234">
        <f>SUM(BT9:BT33)</f>
        <v>78.00000000001091</v>
      </c>
      <c r="BU34" s="10"/>
      <c r="BV34" s="234">
        <f>SUM(BV9:BV33)</f>
        <v>0</v>
      </c>
      <c r="BW34" s="412"/>
      <c r="BX34" s="235" t="s">
        <v>14</v>
      </c>
      <c r="BY34" s="418"/>
      <c r="BZ34" s="234">
        <f>SUM(BZ9:BZ33)</f>
        <v>178.0000000000291</v>
      </c>
      <c r="CA34" s="10"/>
      <c r="CB34" s="234">
        <f>SUM(CB9:CB33)</f>
        <v>50</v>
      </c>
      <c r="CC34" s="234"/>
      <c r="CD34" s="234">
        <f>SUM(CD9:CD33)</f>
        <v>83.99999999994179</v>
      </c>
      <c r="CE34" s="163"/>
      <c r="CF34" s="234">
        <f>SUM(CF9:CF33)</f>
        <v>31.30000000000291</v>
      </c>
      <c r="CG34" s="10"/>
      <c r="CH34" s="234">
        <f>SUM(CH9:CH33)</f>
        <v>1167.9999999998836</v>
      </c>
      <c r="CI34" s="234"/>
      <c r="CJ34" s="234">
        <f>SUM(CJ9:CJ33)</f>
        <v>213.68999999998778</v>
      </c>
      <c r="CK34" s="10"/>
      <c r="CL34" s="234">
        <f>SUM(CL9:CL33)</f>
        <v>35.60000000000582</v>
      </c>
      <c r="CM34" s="10"/>
      <c r="CN34" s="234">
        <f>SUM(CN9:CN33)</f>
        <v>0</v>
      </c>
      <c r="CO34" s="10"/>
      <c r="CP34" s="234">
        <f>SUM(CP9:CP33)</f>
        <v>341.100000000024</v>
      </c>
      <c r="CQ34" s="234"/>
      <c r="CR34" s="234">
        <f>SUM(CR9:CR33)</f>
        <v>0</v>
      </c>
      <c r="CS34" s="440"/>
      <c r="CT34" s="440"/>
      <c r="CU34" s="441"/>
      <c r="CV34" s="440">
        <f>SUM(CV9:CV33)</f>
        <v>0</v>
      </c>
      <c r="CW34" s="440"/>
      <c r="CX34" s="440">
        <f>SUM(CX9:CX33)</f>
        <v>0</v>
      </c>
    </row>
    <row r="35" spans="1:102" ht="16.5" thickBot="1">
      <c r="A35" s="221" t="s">
        <v>111</v>
      </c>
      <c r="B35" s="21"/>
      <c r="C35" s="22">
        <f>MAX(C10:C33)</f>
        <v>0</v>
      </c>
      <c r="D35" s="21"/>
      <c r="E35" s="22">
        <f>MAX(E10:E33)</f>
        <v>0</v>
      </c>
      <c r="F35" s="21"/>
      <c r="G35" s="22">
        <f>MAX(G10:G33)</f>
        <v>0</v>
      </c>
      <c r="H35" s="21"/>
      <c r="I35" s="22">
        <f>MAX(I10:I33)</f>
        <v>0</v>
      </c>
      <c r="J35" s="21"/>
      <c r="K35" s="22">
        <f>MAX(K10:K33)</f>
        <v>0</v>
      </c>
      <c r="L35" s="21"/>
      <c r="M35" s="22">
        <f>MAX(M10:M33)</f>
        <v>0</v>
      </c>
      <c r="N35" s="66"/>
      <c r="O35" s="250"/>
      <c r="P35" s="252">
        <f>MAX(P10:P33)</f>
        <v>15.999999999985448</v>
      </c>
      <c r="Q35" s="250"/>
      <c r="R35" s="252">
        <f>MAX(R10:R33)</f>
        <v>4.000000000014552</v>
      </c>
      <c r="S35" s="21"/>
      <c r="T35" s="20">
        <f>MAX(T10:T33)</f>
        <v>0</v>
      </c>
      <c r="U35" s="21"/>
      <c r="V35" s="20">
        <f>MAX(V10:V33)</f>
        <v>0</v>
      </c>
      <c r="W35" s="21"/>
      <c r="X35" s="20">
        <f>MAX(X10:X33)</f>
        <v>0</v>
      </c>
      <c r="Y35" s="53"/>
      <c r="Z35" s="21"/>
      <c r="AA35" s="20">
        <f>MAX(AA10:AA33)</f>
        <v>0</v>
      </c>
      <c r="AB35" s="21"/>
      <c r="AC35" s="20">
        <f>MAX(AC10:AC33)</f>
        <v>7.999999999992724</v>
      </c>
      <c r="AD35" s="21"/>
      <c r="AE35" s="20">
        <f>MAX(AE10:AE33)</f>
        <v>4.000000000014552</v>
      </c>
      <c r="AF35" s="221"/>
      <c r="AG35" s="20">
        <f>MAX(AG10:AG33)</f>
        <v>2.000000000007276</v>
      </c>
      <c r="AH35" s="221"/>
      <c r="AI35" s="22">
        <f>MAX(AI10:AI33)</f>
        <v>28.399999999983265</v>
      </c>
      <c r="AJ35" s="250"/>
      <c r="AK35" s="251">
        <f>MAX(AK10:AK33)</f>
        <v>0</v>
      </c>
      <c r="AL35" s="250"/>
      <c r="AM35" s="251">
        <f>MAX(AM10:AM33)</f>
        <v>0</v>
      </c>
      <c r="AN35" s="250"/>
      <c r="AO35" s="251">
        <f>MAX(AO10:AO33)</f>
        <v>0</v>
      </c>
      <c r="AP35" s="250"/>
      <c r="AQ35" s="251">
        <f>MAX(AQ10:AQ33)</f>
        <v>0</v>
      </c>
      <c r="AR35" s="250"/>
      <c r="AS35" s="251">
        <f>MAX(AS10:AS33)</f>
        <v>0</v>
      </c>
      <c r="AT35" s="283"/>
      <c r="AU35" s="221"/>
      <c r="AV35" s="22">
        <f>MAX(AV10:AV33)</f>
        <v>7.5</v>
      </c>
      <c r="AW35" s="221"/>
      <c r="AX35" s="22">
        <f>MAX(AX10:AX33)</f>
        <v>23.999999999978172</v>
      </c>
      <c r="AY35" s="221"/>
      <c r="AZ35" s="22">
        <f>MAX(AZ10:AZ33)</f>
        <v>8.000000000001819</v>
      </c>
      <c r="BA35" s="66"/>
      <c r="BB35" s="66">
        <f>MAX(BB10:BB33)</f>
        <v>0</v>
      </c>
      <c r="BC35" s="66"/>
      <c r="BD35" s="66">
        <f>MAX(BD10:BD33)</f>
        <v>0</v>
      </c>
      <c r="BE35" s="66"/>
      <c r="BF35" s="66">
        <f>MAX(BF10:BF33)</f>
        <v>0</v>
      </c>
      <c r="BG35" s="66"/>
      <c r="BH35" s="66">
        <f>MAX(BH10:BH33)</f>
        <v>0</v>
      </c>
      <c r="BI35" s="66"/>
      <c r="BJ35" s="66">
        <f>MAX(BJ10:BJ33)</f>
        <v>0</v>
      </c>
      <c r="BK35" s="66"/>
      <c r="BL35" s="66">
        <f>MAX(BL10:BL33)</f>
        <v>0</v>
      </c>
      <c r="BM35" s="53"/>
      <c r="BN35" s="873" t="s">
        <v>50</v>
      </c>
      <c r="BO35" s="874"/>
      <c r="BP35" s="236">
        <f>SUM(BP10:BP33)/24</f>
        <v>5.749999999998181</v>
      </c>
      <c r="BQ35" s="116"/>
      <c r="BR35" s="236">
        <f>SUM(BR10:BR33)/24</f>
        <v>2.9999999999995453</v>
      </c>
      <c r="BS35" s="116"/>
      <c r="BT35" s="236">
        <f>SUM(BT10:BT33)/24</f>
        <v>3.2500000000004547</v>
      </c>
      <c r="BU35" s="116"/>
      <c r="BV35" s="236">
        <f>SUM(BV10:BV33)/24</f>
        <v>0</v>
      </c>
      <c r="BW35" s="412"/>
      <c r="BX35" s="238" t="s">
        <v>73</v>
      </c>
      <c r="BY35" s="419"/>
      <c r="BZ35" s="236">
        <f>SUM(BZ10:BZ33)/24</f>
        <v>7.416666666667879</v>
      </c>
      <c r="CA35" s="116"/>
      <c r="CB35" s="236">
        <f>SUM(CB10:CB33)/24</f>
        <v>2.0833333333333335</v>
      </c>
      <c r="CC35" s="236"/>
      <c r="CD35" s="236">
        <f>SUM(CD10:CD33)/24</f>
        <v>3.499999999997575</v>
      </c>
      <c r="CE35" s="164"/>
      <c r="CF35" s="247">
        <f>SUM(CF10:CF33)/24</f>
        <v>1.304166666666788</v>
      </c>
      <c r="CG35" s="116"/>
      <c r="CH35" s="237">
        <f>SUM(CH10:CH33)/24</f>
        <v>48.66666666666182</v>
      </c>
      <c r="CI35" s="237"/>
      <c r="CJ35" s="237">
        <f>SUM(CJ10:CJ33)/24</f>
        <v>8.90374999999949</v>
      </c>
      <c r="CK35" s="116"/>
      <c r="CL35" s="237">
        <f>SUM(CL10:CL33)/24</f>
        <v>1.4833333333335759</v>
      </c>
      <c r="CM35" s="116"/>
      <c r="CN35" s="237">
        <f>SUM(CN10:CN33)/24</f>
        <v>0</v>
      </c>
      <c r="CO35" s="116"/>
      <c r="CP35" s="237">
        <f>SUM(CP10:CP33)/24</f>
        <v>14.212500000001</v>
      </c>
      <c r="CQ35" s="237"/>
      <c r="CR35" s="237">
        <f>SUM(CR10:CR33)/24</f>
        <v>0</v>
      </c>
      <c r="CS35" s="442"/>
      <c r="CT35" s="442"/>
      <c r="CU35" s="443"/>
      <c r="CV35" s="442">
        <f>SUM(CV10:CV33)/24</f>
        <v>0</v>
      </c>
      <c r="CW35" s="442"/>
      <c r="CX35" s="442">
        <f>SUM(CX10:CX33)/24</f>
        <v>0</v>
      </c>
    </row>
    <row r="36" spans="1:102" ht="16.5" thickBot="1">
      <c r="A36" s="221" t="s">
        <v>112</v>
      </c>
      <c r="B36" s="21"/>
      <c r="C36" s="22" t="e">
        <f>C34/24/C35</f>
        <v>#DIV/0!</v>
      </c>
      <c r="D36" s="21"/>
      <c r="E36" s="22" t="e">
        <f>E34/24/E35</f>
        <v>#DIV/0!</v>
      </c>
      <c r="F36" s="21"/>
      <c r="G36" s="22" t="e">
        <f>G34/24/G35</f>
        <v>#DIV/0!</v>
      </c>
      <c r="H36" s="21"/>
      <c r="I36" s="22" t="e">
        <f>I34/24/I35</f>
        <v>#DIV/0!</v>
      </c>
      <c r="J36" s="21"/>
      <c r="K36" s="22" t="e">
        <f>K34/24/K35</f>
        <v>#DIV/0!</v>
      </c>
      <c r="L36" s="21"/>
      <c r="M36" s="22" t="e">
        <f>M34/24/M35</f>
        <v>#DIV/0!</v>
      </c>
      <c r="N36" s="66"/>
      <c r="O36" s="250"/>
      <c r="P36" s="252">
        <f>P34/24/P35</f>
        <v>0.4687500000004263</v>
      </c>
      <c r="Q36" s="250"/>
      <c r="R36" s="252">
        <f>R34/24/R35</f>
        <v>0.6249999999977263</v>
      </c>
      <c r="S36" s="21"/>
      <c r="T36" s="20" t="e">
        <f>T34/24/T35</f>
        <v>#DIV/0!</v>
      </c>
      <c r="U36" s="21"/>
      <c r="V36" s="20" t="e">
        <f>V34/24/V35</f>
        <v>#DIV/0!</v>
      </c>
      <c r="W36" s="21"/>
      <c r="X36" s="20" t="e">
        <f>X34/24/X35</f>
        <v>#DIV/0!</v>
      </c>
      <c r="Y36" s="53"/>
      <c r="Z36" s="21"/>
      <c r="AA36" s="20" t="e">
        <f>AA34/24/AA35</f>
        <v>#DIV/0!</v>
      </c>
      <c r="AB36" s="21"/>
      <c r="AC36" s="20">
        <f>AC34/24/AC35</f>
        <v>0.395833333333807</v>
      </c>
      <c r="AD36" s="21"/>
      <c r="AE36" s="20">
        <f>AE34/24/AE35</f>
        <v>0.583333333331249</v>
      </c>
      <c r="AF36" s="221"/>
      <c r="AG36" s="20">
        <f>AG34/24/AG35</f>
        <v>0.4999999999984842</v>
      </c>
      <c r="AH36" s="221"/>
      <c r="AI36" s="22">
        <f>AI34/24/AI35</f>
        <v>0.1625586854461041</v>
      </c>
      <c r="AJ36" s="250"/>
      <c r="AK36" s="251" t="e">
        <f>AK34/24/AK35</f>
        <v>#DIV/0!</v>
      </c>
      <c r="AL36" s="250"/>
      <c r="AM36" s="251" t="e">
        <f>AM34/24/AM35</f>
        <v>#DIV/0!</v>
      </c>
      <c r="AN36" s="250"/>
      <c r="AO36" s="251" t="e">
        <f>AO34/24/AO35</f>
        <v>#DIV/0!</v>
      </c>
      <c r="AP36" s="250"/>
      <c r="AQ36" s="251" t="e">
        <f>AQ34/24/AQ35</f>
        <v>#DIV/0!</v>
      </c>
      <c r="AR36" s="250"/>
      <c r="AS36" s="251" t="e">
        <f>AS34/24/AS35</f>
        <v>#DIV/0!</v>
      </c>
      <c r="AT36" s="283"/>
      <c r="AU36" s="221"/>
      <c r="AV36" s="22">
        <f>AV34/24/AV35</f>
        <v>0.4499999999999697</v>
      </c>
      <c r="AW36" s="221"/>
      <c r="AX36" s="22">
        <f>AX34/24/AX35</f>
        <v>0.1510416666667851</v>
      </c>
      <c r="AY36" s="221"/>
      <c r="AZ36" s="22">
        <f>AZ34/24/AZ35</f>
        <v>0.3541666666665956</v>
      </c>
      <c r="BA36" s="66"/>
      <c r="BB36" s="66" t="e">
        <f>BB34/24/BB35</f>
        <v>#DIV/0!</v>
      </c>
      <c r="BC36" s="66"/>
      <c r="BD36" s="66" t="e">
        <f>BD34/24/BD35</f>
        <v>#DIV/0!</v>
      </c>
      <c r="BE36" s="66"/>
      <c r="BF36" s="66" t="e">
        <f>BF34/24/BF35</f>
        <v>#DIV/0!</v>
      </c>
      <c r="BG36" s="66"/>
      <c r="BH36" s="66" t="e">
        <f>BH34/24/BH35</f>
        <v>#DIV/0!</v>
      </c>
      <c r="BI36" s="66"/>
      <c r="BJ36" s="66" t="e">
        <f>BJ34/24/BJ35</f>
        <v>#DIV/0!</v>
      </c>
      <c r="BK36" s="66"/>
      <c r="BL36" s="66" t="e">
        <f>BL34/24/BL35</f>
        <v>#DIV/0!</v>
      </c>
      <c r="BM36" s="53"/>
      <c r="BN36" s="875" t="s">
        <v>51</v>
      </c>
      <c r="BO36" s="876"/>
      <c r="BP36" s="239">
        <f>MAX(BP10:BP33)</f>
        <v>60</v>
      </c>
      <c r="BQ36" s="240"/>
      <c r="BR36" s="239">
        <f>MAX(BR10:BR33)</f>
        <v>60</v>
      </c>
      <c r="BS36" s="240"/>
      <c r="BT36" s="239">
        <f>MAX(BT10:BT33)</f>
        <v>60</v>
      </c>
      <c r="BU36" s="240"/>
      <c r="BV36" s="239">
        <f>MAX(BV10:BV33)</f>
        <v>0</v>
      </c>
      <c r="BW36" s="412"/>
      <c r="BX36" s="242" t="s">
        <v>74</v>
      </c>
      <c r="BY36" s="420"/>
      <c r="BZ36" s="239">
        <f>MAX(BZ10:BZ33)</f>
        <v>20</v>
      </c>
      <c r="CA36" s="240"/>
      <c r="CB36" s="239">
        <f>MAX(CB10:CB33)</f>
        <v>20</v>
      </c>
      <c r="CC36" s="239"/>
      <c r="CD36" s="239">
        <f>MAX(CD10:CD33)</f>
        <v>11.999999999970896</v>
      </c>
      <c r="CE36" s="165"/>
      <c r="CF36" s="248">
        <f>MAX(CF10:CF33)</f>
        <v>12.69999999999709</v>
      </c>
      <c r="CG36" s="240"/>
      <c r="CH36" s="241">
        <f>MAX(CH10:CH33)</f>
        <v>120</v>
      </c>
      <c r="CI36" s="241"/>
      <c r="CJ36" s="241">
        <f>MAX(CJ10:CJ33)</f>
        <v>12.02000000004773</v>
      </c>
      <c r="CK36" s="240"/>
      <c r="CL36" s="241">
        <f>MAX(CL10:CL33)</f>
        <v>5</v>
      </c>
      <c r="CM36" s="240"/>
      <c r="CN36" s="241">
        <f>MAX(CN10:CN33)</f>
        <v>0</v>
      </c>
      <c r="CO36" s="240"/>
      <c r="CP36" s="241">
        <f>MAX(CP10:CP33)</f>
        <v>33.47999999999956</v>
      </c>
      <c r="CQ36" s="241"/>
      <c r="CR36" s="241">
        <f>MAX(CR10:CR33)</f>
        <v>0</v>
      </c>
      <c r="CS36" s="444"/>
      <c r="CT36" s="444"/>
      <c r="CU36" s="445"/>
      <c r="CV36" s="444">
        <f>MAX(CV10:CV33)</f>
        <v>0</v>
      </c>
      <c r="CW36" s="444"/>
      <c r="CX36" s="444">
        <f>MAX(CX10:CX33)</f>
        <v>0</v>
      </c>
    </row>
    <row r="37" spans="1:102" ht="16.5" thickBot="1">
      <c r="A37" s="221" t="s">
        <v>113</v>
      </c>
      <c r="B37" s="21"/>
      <c r="C37" s="22" t="e">
        <f>C35/(C34/24)</f>
        <v>#DIV/0!</v>
      </c>
      <c r="D37" s="21"/>
      <c r="E37" s="22" t="e">
        <f>E35/(E34/24)</f>
        <v>#DIV/0!</v>
      </c>
      <c r="F37" s="21"/>
      <c r="G37" s="22" t="e">
        <f>G35/(G34/24)</f>
        <v>#DIV/0!</v>
      </c>
      <c r="H37" s="21"/>
      <c r="I37" s="22" t="e">
        <f>I35/(I34/24)</f>
        <v>#DIV/0!</v>
      </c>
      <c r="J37" s="21"/>
      <c r="K37" s="22" t="e">
        <f>K35/(K34/24)</f>
        <v>#DIV/0!</v>
      </c>
      <c r="L37" s="21"/>
      <c r="M37" s="22" t="e">
        <f>M35/(M34/24)</f>
        <v>#DIV/0!</v>
      </c>
      <c r="N37" s="66"/>
      <c r="O37" s="250"/>
      <c r="P37" s="252">
        <f>P35/(P34/24)</f>
        <v>2.133333333331393</v>
      </c>
      <c r="Q37" s="250"/>
      <c r="R37" s="252">
        <f>R35/(R34/24)</f>
        <v>1.6000000000058208</v>
      </c>
      <c r="S37" s="21"/>
      <c r="T37" s="20" t="e">
        <f>T35/(T34/24)</f>
        <v>#DIV/0!</v>
      </c>
      <c r="U37" s="21"/>
      <c r="V37" s="20" t="e">
        <f>V35/(V34/24)</f>
        <v>#DIV/0!</v>
      </c>
      <c r="W37" s="21"/>
      <c r="X37" s="20" t="e">
        <f>X35/(X34/24)</f>
        <v>#DIV/0!</v>
      </c>
      <c r="Y37" s="53"/>
      <c r="Z37" s="21"/>
      <c r="AA37" s="20" t="e">
        <f>AA35/(AA34/24)</f>
        <v>#DIV/0!</v>
      </c>
      <c r="AB37" s="21"/>
      <c r="AC37" s="20">
        <f>AC35/(AC34/24)</f>
        <v>2.526315789470661</v>
      </c>
      <c r="AD37" s="21"/>
      <c r="AE37" s="20">
        <f>AE35/(AE34/24)</f>
        <v>1.7142857142918395</v>
      </c>
      <c r="AF37" s="221"/>
      <c r="AG37" s="20">
        <f>AG35/(AG34/24)</f>
        <v>2.000000000006063</v>
      </c>
      <c r="AH37" s="221"/>
      <c r="AI37" s="22">
        <f>AI35/(AI34/24)</f>
        <v>6.151624548732878</v>
      </c>
      <c r="AJ37" s="250"/>
      <c r="AK37" s="251" t="e">
        <f>AK35/(AK34/24)</f>
        <v>#DIV/0!</v>
      </c>
      <c r="AL37" s="250"/>
      <c r="AM37" s="251" t="e">
        <f>AM35/(AM34/24)</f>
        <v>#DIV/0!</v>
      </c>
      <c r="AN37" s="250"/>
      <c r="AO37" s="251" t="e">
        <f>AO35/(AO34/24)</f>
        <v>#DIV/0!</v>
      </c>
      <c r="AP37" s="250"/>
      <c r="AQ37" s="251" t="e">
        <f>AQ35/(AQ34/24)</f>
        <v>#DIV/0!</v>
      </c>
      <c r="AR37" s="250"/>
      <c r="AS37" s="251" t="e">
        <f>AS35/(AS34/24)</f>
        <v>#DIV/0!</v>
      </c>
      <c r="AT37" s="283"/>
      <c r="AU37" s="221"/>
      <c r="AV37" s="22">
        <f>AV35/(AV34/24)</f>
        <v>2.222222222222372</v>
      </c>
      <c r="AW37" s="221"/>
      <c r="AX37" s="22">
        <f>AX35/(AX34/24)</f>
        <v>6.620689655167223</v>
      </c>
      <c r="AY37" s="221"/>
      <c r="AZ37" s="22">
        <f>AZ35/(AZ34/24)</f>
        <v>2.8235294117652723</v>
      </c>
      <c r="BA37" s="66"/>
      <c r="BB37" s="66" t="e">
        <f>BB35/(BB34/24)</f>
        <v>#DIV/0!</v>
      </c>
      <c r="BC37" s="66"/>
      <c r="BD37" s="66" t="e">
        <f>BD35/(BD34/24)</f>
        <v>#DIV/0!</v>
      </c>
      <c r="BE37" s="66"/>
      <c r="BF37" s="66" t="e">
        <f>BF35/(BF34/24)</f>
        <v>#DIV/0!</v>
      </c>
      <c r="BG37" s="66"/>
      <c r="BH37" s="66" t="e">
        <f>BH35/(BH34/24)</f>
        <v>#DIV/0!</v>
      </c>
      <c r="BI37" s="66"/>
      <c r="BJ37" s="66" t="e">
        <f>BJ35/(BJ34/24)</f>
        <v>#DIV/0!</v>
      </c>
      <c r="BK37" s="66"/>
      <c r="BL37" s="66" t="e">
        <f>BL35/(BL34/24)</f>
        <v>#DIV/0!</v>
      </c>
      <c r="BM37" s="53"/>
      <c r="BN37" s="883" t="s">
        <v>54</v>
      </c>
      <c r="BO37" s="884"/>
      <c r="BP37" s="243">
        <f>BP35/BP36</f>
        <v>0.09583333333330302</v>
      </c>
      <c r="BQ37" s="117"/>
      <c r="BR37" s="243">
        <f>BR35/BR36</f>
        <v>0.04999999999999242</v>
      </c>
      <c r="BS37" s="117"/>
      <c r="BT37" s="243">
        <f>BT35/BT36</f>
        <v>0.054166666666674246</v>
      </c>
      <c r="BU37" s="117"/>
      <c r="BV37" s="243" t="e">
        <f>BV35/BV36</f>
        <v>#DIV/0!</v>
      </c>
      <c r="BW37" s="412"/>
      <c r="BX37" s="244" t="s">
        <v>75</v>
      </c>
      <c r="BY37" s="421"/>
      <c r="BZ37" s="243">
        <f>BZ35/BZ36</f>
        <v>0.37083333333339397</v>
      </c>
      <c r="CA37" s="117"/>
      <c r="CB37" s="243">
        <f>CB35/CB36</f>
        <v>0.10416666666666667</v>
      </c>
      <c r="CC37" s="243"/>
      <c r="CD37" s="243">
        <f>CD35/CD36</f>
        <v>0.29166666666717195</v>
      </c>
      <c r="CE37" s="166"/>
      <c r="CF37" s="249">
        <f>CF35/CF36</f>
        <v>0.10269028871394384</v>
      </c>
      <c r="CG37" s="117"/>
      <c r="CH37" s="245">
        <f>CH35/CH36</f>
        <v>0.40555555555551515</v>
      </c>
      <c r="CI37" s="245"/>
      <c r="CJ37" s="245">
        <f>CJ35/CJ36</f>
        <v>0.7407445923431061</v>
      </c>
      <c r="CK37" s="117"/>
      <c r="CL37" s="245">
        <f>CL35/CL36</f>
        <v>0.29666666666671515</v>
      </c>
      <c r="CM37" s="117"/>
      <c r="CN37" s="245" t="e">
        <f>CN35/CN36</f>
        <v>#DIV/0!</v>
      </c>
      <c r="CO37" s="117"/>
      <c r="CP37" s="245">
        <f>CP35/CP36</f>
        <v>0.42450716845881675</v>
      </c>
      <c r="CQ37" s="245"/>
      <c r="CR37" s="245" t="e">
        <f>CR35/CR36</f>
        <v>#DIV/0!</v>
      </c>
      <c r="CS37" s="446"/>
      <c r="CT37" s="446"/>
      <c r="CU37" s="447"/>
      <c r="CV37" s="446" t="e">
        <f>CV35/CV36</f>
        <v>#DIV/0!</v>
      </c>
      <c r="CW37" s="446"/>
      <c r="CX37" s="446" t="e">
        <f>CX35/CX36</f>
        <v>#DIV/0!</v>
      </c>
    </row>
    <row r="38" ht="12.75">
      <c r="AT38" s="2"/>
    </row>
    <row r="39" spans="2:45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7"/>
      <c r="P39" s="27"/>
      <c r="Q39" s="27"/>
      <c r="R39" s="27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2:102" s="18" customFormat="1" ht="12.7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8"/>
      <c r="P40" s="330"/>
      <c r="Q40" s="28"/>
      <c r="R40" s="330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BN40" s="2"/>
      <c r="CE40" s="246"/>
      <c r="CF40" s="246"/>
      <c r="CS40" s="429"/>
      <c r="CT40" s="429"/>
      <c r="CU40" s="429"/>
      <c r="CV40" s="429"/>
      <c r="CW40" s="429"/>
      <c r="CX40" s="429"/>
    </row>
    <row r="41" spans="2:45" ht="12.7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3"/>
      <c r="P41" s="253"/>
      <c r="Q41" s="253"/>
      <c r="R41" s="253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2:78" ht="12.7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331"/>
      <c r="P42" s="253"/>
      <c r="Q42" s="331"/>
      <c r="R42" s="253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BY42">
        <v>5345</v>
      </c>
      <c r="BZ42">
        <f>BY42+892.2</f>
        <v>6237.2</v>
      </c>
    </row>
    <row r="43" spans="2:78" ht="12.7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331"/>
      <c r="P43" s="253"/>
      <c r="Q43" s="331"/>
      <c r="R43" s="253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BY43">
        <v>5345</v>
      </c>
      <c r="BZ43">
        <f aca="true" t="shared" si="50" ref="BZ43:BZ66">BY43+892.2</f>
        <v>6237.2</v>
      </c>
    </row>
    <row r="44" spans="2:78" ht="12.7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331"/>
      <c r="P44" s="253"/>
      <c r="Q44" s="331"/>
      <c r="R44" s="253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BY44">
        <v>5345</v>
      </c>
      <c r="BZ44">
        <f t="shared" si="50"/>
        <v>6237.2</v>
      </c>
    </row>
    <row r="45" spans="2:78" ht="12.7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331"/>
      <c r="P45" s="253"/>
      <c r="Q45" s="331"/>
      <c r="R45" s="253"/>
      <c r="S45" s="259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BY45">
        <v>5345</v>
      </c>
      <c r="BZ45">
        <f t="shared" si="50"/>
        <v>6237.2</v>
      </c>
    </row>
    <row r="46" spans="2:78" ht="12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331"/>
      <c r="P46" s="253"/>
      <c r="Q46" s="331"/>
      <c r="R46" s="253"/>
      <c r="S46" s="259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BY46">
        <v>5345</v>
      </c>
      <c r="BZ46">
        <f t="shared" si="50"/>
        <v>6237.2</v>
      </c>
    </row>
    <row r="47" spans="2:78" ht="1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331"/>
      <c r="P47" s="253"/>
      <c r="Q47" s="331"/>
      <c r="R47" s="253"/>
      <c r="S47" s="259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BN47" s="223"/>
      <c r="BY47">
        <v>5345</v>
      </c>
      <c r="BZ47">
        <f t="shared" si="50"/>
        <v>6237.2</v>
      </c>
    </row>
    <row r="48" spans="2:78" ht="12.7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331"/>
      <c r="P48" s="253"/>
      <c r="Q48" s="331"/>
      <c r="R48" s="253"/>
      <c r="S48" s="259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BY48">
        <v>5345</v>
      </c>
      <c r="BZ48">
        <f t="shared" si="50"/>
        <v>6237.2</v>
      </c>
    </row>
    <row r="49" spans="2:78" ht="12.7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331"/>
      <c r="P49" s="253"/>
      <c r="Q49" s="331"/>
      <c r="R49" s="253"/>
      <c r="S49" s="259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BN49" s="1"/>
      <c r="BY49">
        <v>5345</v>
      </c>
      <c r="BZ49">
        <f t="shared" si="50"/>
        <v>6237.2</v>
      </c>
    </row>
    <row r="50" spans="2:78" ht="12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331"/>
      <c r="P50" s="253"/>
      <c r="Q50" s="331"/>
      <c r="R50" s="253"/>
      <c r="S50" s="259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BN50" s="1"/>
      <c r="BY50">
        <v>5345</v>
      </c>
      <c r="BZ50">
        <f t="shared" si="50"/>
        <v>6237.2</v>
      </c>
    </row>
    <row r="51" spans="2:78" ht="12.7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331"/>
      <c r="P51" s="253"/>
      <c r="Q51" s="331"/>
      <c r="R51" s="253"/>
      <c r="S51" s="259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BN51" s="1"/>
      <c r="BY51">
        <v>5346</v>
      </c>
      <c r="BZ51">
        <f t="shared" si="50"/>
        <v>6238.2</v>
      </c>
    </row>
    <row r="52" spans="2:78" ht="12.7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331"/>
      <c r="P52" s="253"/>
      <c r="Q52" s="331"/>
      <c r="R52" s="253"/>
      <c r="S52" s="259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BN52" s="1"/>
      <c r="BY52">
        <v>5346</v>
      </c>
      <c r="BZ52">
        <f t="shared" si="50"/>
        <v>6238.2</v>
      </c>
    </row>
    <row r="53" spans="2:78" ht="12.7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331"/>
      <c r="P53" s="253"/>
      <c r="Q53" s="331"/>
      <c r="R53" s="253"/>
      <c r="S53" s="259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BN53" s="1"/>
      <c r="BY53">
        <v>5346</v>
      </c>
      <c r="BZ53">
        <f t="shared" si="50"/>
        <v>6238.2</v>
      </c>
    </row>
    <row r="54" spans="2:78" ht="12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331"/>
      <c r="P54" s="253"/>
      <c r="Q54" s="331"/>
      <c r="R54" s="253"/>
      <c r="S54" s="259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BN54" s="1"/>
      <c r="BY54">
        <v>5346.7</v>
      </c>
      <c r="BZ54">
        <f t="shared" si="50"/>
        <v>6238.9</v>
      </c>
    </row>
    <row r="55" spans="2:78" ht="12.7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331"/>
      <c r="P55" s="253"/>
      <c r="Q55" s="331"/>
      <c r="R55" s="253"/>
      <c r="S55" s="259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BN55" s="1"/>
      <c r="BY55">
        <v>5346.9</v>
      </c>
      <c r="BZ55">
        <f t="shared" si="50"/>
        <v>6239.099999999999</v>
      </c>
    </row>
    <row r="56" spans="2:78" ht="12.7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331"/>
      <c r="P56" s="253"/>
      <c r="Q56" s="331"/>
      <c r="R56" s="253"/>
      <c r="S56" s="259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BN56" s="1"/>
      <c r="BY56">
        <v>5347</v>
      </c>
      <c r="BZ56">
        <f t="shared" si="50"/>
        <v>6239.2</v>
      </c>
    </row>
    <row r="57" spans="2:78" ht="12.7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331"/>
      <c r="P57" s="253"/>
      <c r="Q57" s="331"/>
      <c r="R57" s="253"/>
      <c r="S57" s="259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BN57" s="1"/>
      <c r="BY57">
        <v>5347.1</v>
      </c>
      <c r="BZ57">
        <f t="shared" si="50"/>
        <v>6239.3</v>
      </c>
    </row>
    <row r="58" spans="2:78" ht="12.7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331"/>
      <c r="P58" s="253"/>
      <c r="Q58" s="331"/>
      <c r="R58" s="253"/>
      <c r="S58" s="259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BN58" s="1"/>
      <c r="BY58">
        <v>5347.1</v>
      </c>
      <c r="BZ58">
        <f t="shared" si="50"/>
        <v>6239.3</v>
      </c>
    </row>
    <row r="59" spans="2:78" ht="12.7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331"/>
      <c r="P59" s="253"/>
      <c r="Q59" s="331"/>
      <c r="R59" s="253"/>
      <c r="S59" s="259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BN59" s="1"/>
      <c r="BY59">
        <v>5347.2</v>
      </c>
      <c r="BZ59">
        <f t="shared" si="50"/>
        <v>6239.4</v>
      </c>
    </row>
    <row r="60" spans="2:78" ht="12.7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331"/>
      <c r="P60" s="253"/>
      <c r="Q60" s="331"/>
      <c r="R60" s="253"/>
      <c r="S60" s="259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BN60" s="1"/>
      <c r="BY60">
        <v>5347.2</v>
      </c>
      <c r="BZ60">
        <f t="shared" si="50"/>
        <v>6239.4</v>
      </c>
    </row>
    <row r="61" spans="2:78" ht="12.7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331"/>
      <c r="P61" s="253"/>
      <c r="Q61" s="331"/>
      <c r="R61" s="253"/>
      <c r="S61" s="259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BN61" s="1"/>
      <c r="BY61">
        <v>5347.4</v>
      </c>
      <c r="BZ61">
        <f t="shared" si="50"/>
        <v>6239.599999999999</v>
      </c>
    </row>
    <row r="62" spans="2:78" ht="12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331"/>
      <c r="P62" s="253"/>
      <c r="Q62" s="331"/>
      <c r="R62" s="253"/>
      <c r="S62" s="259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BN62" s="1"/>
      <c r="BY62">
        <v>5347.4</v>
      </c>
      <c r="BZ62">
        <f t="shared" si="50"/>
        <v>6239.599999999999</v>
      </c>
    </row>
    <row r="63" spans="2:78" ht="12.75">
      <c r="B63" s="26"/>
      <c r="C63" s="26"/>
      <c r="D63" s="26"/>
      <c r="O63" s="331"/>
      <c r="P63" s="253"/>
      <c r="Q63" s="331"/>
      <c r="R63" s="253"/>
      <c r="S63" s="259"/>
      <c r="AJ63" s="26"/>
      <c r="AK63" s="26"/>
      <c r="AL63" s="26"/>
      <c r="BN63" s="1"/>
      <c r="BY63">
        <v>5347.4</v>
      </c>
      <c r="BZ63">
        <f t="shared" si="50"/>
        <v>6239.599999999999</v>
      </c>
    </row>
    <row r="64" spans="2:78" ht="12.75">
      <c r="B64" s="26"/>
      <c r="C64" s="26"/>
      <c r="D64" s="26"/>
      <c r="S64" s="259"/>
      <c r="AJ64" s="26"/>
      <c r="AK64" s="26"/>
      <c r="AL64" s="26"/>
      <c r="BN64" s="1"/>
      <c r="BY64">
        <v>5347.5</v>
      </c>
      <c r="BZ64">
        <f t="shared" si="50"/>
        <v>6239.7</v>
      </c>
    </row>
    <row r="65" spans="2:78" ht="12.75">
      <c r="B65" s="26"/>
      <c r="C65" s="26"/>
      <c r="D65" s="26"/>
      <c r="S65" s="259"/>
      <c r="AJ65" s="26"/>
      <c r="AK65" s="26"/>
      <c r="AL65" s="26"/>
      <c r="BN65" s="1"/>
      <c r="BY65">
        <v>5347.5</v>
      </c>
      <c r="BZ65">
        <f t="shared" si="50"/>
        <v>6239.7</v>
      </c>
    </row>
    <row r="66" spans="2:78" ht="12.75">
      <c r="B66" s="26"/>
      <c r="C66" s="26"/>
      <c r="D66" s="26"/>
      <c r="S66" s="259"/>
      <c r="AJ66" s="26"/>
      <c r="AK66" s="26"/>
      <c r="AL66" s="26"/>
      <c r="BN66" s="1"/>
      <c r="BY66">
        <v>5347.5</v>
      </c>
      <c r="BZ66">
        <f t="shared" si="50"/>
        <v>6239.7</v>
      </c>
    </row>
    <row r="67" spans="2:66" ht="12.75">
      <c r="B67" s="26"/>
      <c r="C67" s="26"/>
      <c r="D67" s="26"/>
      <c r="S67" s="259"/>
      <c r="AJ67" s="26"/>
      <c r="AK67" s="26"/>
      <c r="AL67" s="26"/>
      <c r="BN67" s="1"/>
    </row>
    <row r="68" spans="2:66" ht="12.75">
      <c r="B68" s="26"/>
      <c r="C68" s="26"/>
      <c r="D68" s="26"/>
      <c r="S68" s="259"/>
      <c r="AJ68" s="26"/>
      <c r="AK68" s="26"/>
      <c r="AL68" s="26"/>
      <c r="BN68" s="1"/>
    </row>
    <row r="69" spans="2:66" ht="12.75">
      <c r="B69" s="26"/>
      <c r="C69" s="26"/>
      <c r="D69" s="26"/>
      <c r="S69" s="259"/>
      <c r="AJ69" s="26"/>
      <c r="AK69" s="26"/>
      <c r="AL69" s="26"/>
      <c r="BN69" s="1"/>
    </row>
    <row r="70" ht="12.75">
      <c r="BN70" s="1"/>
    </row>
    <row r="71" ht="12.75">
      <c r="BN71" s="1"/>
    </row>
    <row r="72" ht="12.75">
      <c r="BN72" s="1"/>
    </row>
    <row r="73" ht="12.75">
      <c r="BN73" s="1"/>
    </row>
    <row r="74" ht="12.75">
      <c r="BN74" s="1"/>
    </row>
    <row r="75" ht="12.75">
      <c r="BN75" s="1"/>
    </row>
    <row r="76" ht="12.75">
      <c r="BN76" s="4"/>
    </row>
    <row r="89" ht="15">
      <c r="BN89" s="222"/>
    </row>
    <row r="92" ht="12.75">
      <c r="BN92" s="1"/>
    </row>
    <row r="93" ht="12.75">
      <c r="BN93" s="1"/>
    </row>
    <row r="94" ht="12.75">
      <c r="BN94" s="1"/>
    </row>
    <row r="95" ht="12.75">
      <c r="BN95" s="1"/>
    </row>
    <row r="96" ht="12.75">
      <c r="BN96" s="1"/>
    </row>
    <row r="97" ht="12.75">
      <c r="BN97" s="1"/>
    </row>
    <row r="98" ht="12.75">
      <c r="BN98" s="1"/>
    </row>
    <row r="99" ht="12.75">
      <c r="BN99" s="1"/>
    </row>
    <row r="100" ht="12.75">
      <c r="BN100" s="1"/>
    </row>
    <row r="101" ht="12.75">
      <c r="BN101" s="1"/>
    </row>
    <row r="102" ht="12.75">
      <c r="BN102" s="1"/>
    </row>
    <row r="103" ht="12.75">
      <c r="BN103" s="1"/>
    </row>
    <row r="104" ht="12.75">
      <c r="BN104" s="1"/>
    </row>
    <row r="105" ht="12.75">
      <c r="BN105" s="1"/>
    </row>
    <row r="106" ht="12.75">
      <c r="BN106" s="1"/>
    </row>
    <row r="107" ht="12.75">
      <c r="BN107" s="1"/>
    </row>
    <row r="108" ht="12.75">
      <c r="BN108" s="1"/>
    </row>
    <row r="109" ht="12.75">
      <c r="BN109" s="1"/>
    </row>
    <row r="110" ht="12.75">
      <c r="BN110" s="1"/>
    </row>
    <row r="111" ht="12.75">
      <c r="BN111" s="1"/>
    </row>
    <row r="112" ht="12.75">
      <c r="BN112" s="1"/>
    </row>
    <row r="113" ht="12.75">
      <c r="BN113" s="1"/>
    </row>
    <row r="114" ht="12.75">
      <c r="BN114" s="1"/>
    </row>
    <row r="115" ht="12.75">
      <c r="BN115" s="1"/>
    </row>
    <row r="116" ht="12.75">
      <c r="BN116" s="1"/>
    </row>
    <row r="117" ht="12.75">
      <c r="BN117" s="1"/>
    </row>
    <row r="118" ht="12.75">
      <c r="BN118" s="1"/>
    </row>
    <row r="132" ht="15">
      <c r="BN132" s="222"/>
    </row>
    <row r="135" ht="12.75">
      <c r="BN135" s="1"/>
    </row>
    <row r="136" ht="12.75">
      <c r="BN136" s="1"/>
    </row>
    <row r="137" ht="12.75">
      <c r="BN137" s="1"/>
    </row>
    <row r="138" ht="12.75">
      <c r="BN138" s="1"/>
    </row>
    <row r="139" ht="12.75">
      <c r="BN139" s="1"/>
    </row>
    <row r="140" ht="12.75">
      <c r="BN140" s="1"/>
    </row>
    <row r="141" ht="12.75">
      <c r="BN141" s="1"/>
    </row>
    <row r="142" ht="12.75">
      <c r="BN142" s="1"/>
    </row>
    <row r="143" ht="12.75">
      <c r="BN143" s="1"/>
    </row>
    <row r="144" ht="12.75">
      <c r="BN144" s="1"/>
    </row>
    <row r="145" ht="12.75">
      <c r="BN145" s="1"/>
    </row>
    <row r="146" ht="12.75">
      <c r="BN146" s="1"/>
    </row>
    <row r="147" ht="12.75">
      <c r="BN147" s="1"/>
    </row>
    <row r="148" ht="12.75">
      <c r="BN148" s="1"/>
    </row>
    <row r="149" ht="12.75">
      <c r="BN149" s="1"/>
    </row>
    <row r="150" ht="12.75">
      <c r="BN150" s="1"/>
    </row>
    <row r="151" ht="12.75">
      <c r="BN151" s="1"/>
    </row>
    <row r="152" ht="12.75">
      <c r="BN152" s="1"/>
    </row>
    <row r="153" ht="12.75">
      <c r="BN153" s="1"/>
    </row>
    <row r="154" ht="12.75">
      <c r="BN154" s="1"/>
    </row>
    <row r="155" ht="12.75">
      <c r="BN155" s="1"/>
    </row>
    <row r="156" ht="12.75">
      <c r="BN156" s="1"/>
    </row>
    <row r="157" ht="12.75">
      <c r="BN157" s="1"/>
    </row>
    <row r="158" ht="12.75">
      <c r="BN158" s="1"/>
    </row>
    <row r="159" ht="12.75">
      <c r="BN159" s="1"/>
    </row>
    <row r="160" ht="12.75">
      <c r="BN160" s="1"/>
    </row>
    <row r="161" ht="12.75">
      <c r="BN161" s="1"/>
    </row>
    <row r="173" ht="15">
      <c r="BN173" s="223"/>
    </row>
    <row r="175" ht="12.75">
      <c r="BN175" s="1"/>
    </row>
    <row r="176" ht="12.75">
      <c r="BN176" s="1"/>
    </row>
    <row r="177" ht="12.75">
      <c r="BN177" s="1"/>
    </row>
    <row r="178" ht="12.75">
      <c r="BN178" s="1"/>
    </row>
    <row r="179" ht="12.75">
      <c r="BN179" s="1"/>
    </row>
    <row r="180" ht="12.75">
      <c r="BN180" s="1"/>
    </row>
    <row r="181" ht="12.75">
      <c r="BN181" s="1"/>
    </row>
    <row r="182" ht="12.75">
      <c r="BN182" s="1"/>
    </row>
    <row r="183" ht="12.75">
      <c r="BN183" s="1"/>
    </row>
    <row r="184" ht="12.75">
      <c r="BN184" s="1"/>
    </row>
    <row r="185" ht="12.75">
      <c r="BN185" s="1"/>
    </row>
    <row r="186" ht="12.75">
      <c r="BN186" s="1"/>
    </row>
    <row r="187" ht="12.75">
      <c r="BN187" s="1"/>
    </row>
    <row r="188" ht="12.75">
      <c r="BN188" s="1"/>
    </row>
    <row r="189" ht="12.75">
      <c r="BN189" s="1"/>
    </row>
    <row r="190" ht="12.75">
      <c r="BN190" s="1"/>
    </row>
    <row r="191" ht="12.75">
      <c r="BN191" s="1"/>
    </row>
    <row r="192" ht="12.75">
      <c r="BN192" s="1"/>
    </row>
    <row r="193" ht="12.75">
      <c r="BN193" s="1"/>
    </row>
    <row r="194" ht="12.75">
      <c r="BN194" s="1"/>
    </row>
    <row r="195" ht="12.75">
      <c r="BN195" s="1"/>
    </row>
    <row r="196" ht="12.75">
      <c r="BN196" s="1"/>
    </row>
    <row r="197" ht="12.75">
      <c r="BN197" s="1"/>
    </row>
    <row r="198" ht="12.75">
      <c r="BN198" s="1"/>
    </row>
    <row r="199" ht="12.75">
      <c r="BN199" s="1"/>
    </row>
    <row r="200" ht="12.75">
      <c r="BN200" s="1"/>
    </row>
    <row r="201" ht="12.75">
      <c r="BN201" s="1"/>
    </row>
    <row r="204" ht="12.75">
      <c r="BN204" s="8"/>
    </row>
    <row r="215" ht="15">
      <c r="BN215" s="222"/>
    </row>
    <row r="218" ht="12.75">
      <c r="BN218" s="1"/>
    </row>
    <row r="219" ht="12.75">
      <c r="BN219" s="1"/>
    </row>
    <row r="220" ht="12.75">
      <c r="BN220" s="1"/>
    </row>
    <row r="221" ht="12.75">
      <c r="BN221" s="1"/>
    </row>
    <row r="222" ht="12.75">
      <c r="BN222" s="1"/>
    </row>
    <row r="223" ht="12.75">
      <c r="BN223" s="1"/>
    </row>
    <row r="224" ht="12.75">
      <c r="BN224" s="1"/>
    </row>
    <row r="225" ht="12.75">
      <c r="BN225" s="1"/>
    </row>
    <row r="226" ht="12.75">
      <c r="BN226" s="1"/>
    </row>
    <row r="227" ht="12.75">
      <c r="BN227" s="1"/>
    </row>
    <row r="228" ht="12.75">
      <c r="BN228" s="1"/>
    </row>
    <row r="229" ht="12.75">
      <c r="BN229" s="1"/>
    </row>
    <row r="230" ht="12.75">
      <c r="BN230" s="1"/>
    </row>
    <row r="231" ht="12.75">
      <c r="BN231" s="1"/>
    </row>
    <row r="232" ht="12.75">
      <c r="BN232" s="1"/>
    </row>
    <row r="233" ht="12.75">
      <c r="BN233" s="1"/>
    </row>
    <row r="234" ht="12.75">
      <c r="BN234" s="1"/>
    </row>
    <row r="235" ht="12.75">
      <c r="BN235" s="1"/>
    </row>
    <row r="236" ht="12.75">
      <c r="BN236" s="1"/>
    </row>
    <row r="237" ht="12.75">
      <c r="BN237" s="1"/>
    </row>
    <row r="238" ht="12.75">
      <c r="BN238" s="1"/>
    </row>
    <row r="239" ht="12.75">
      <c r="BN239" s="1"/>
    </row>
    <row r="240" ht="12.75">
      <c r="BN240" s="1"/>
    </row>
    <row r="241" ht="12.75">
      <c r="BN241" s="1"/>
    </row>
    <row r="242" ht="12.75">
      <c r="BN242" s="1"/>
    </row>
    <row r="243" ht="12.75">
      <c r="BN243" s="1"/>
    </row>
    <row r="244" ht="12.75">
      <c r="BN244" s="1"/>
    </row>
    <row r="257" ht="15">
      <c r="BN257" s="222"/>
    </row>
    <row r="258" ht="15">
      <c r="BN258" s="222"/>
    </row>
    <row r="259" ht="15">
      <c r="BN259" s="223"/>
    </row>
    <row r="261" ht="12.75">
      <c r="BN261" s="1"/>
    </row>
    <row r="262" ht="12.75">
      <c r="BN262" s="1"/>
    </row>
    <row r="263" ht="12.75">
      <c r="BN263" s="1"/>
    </row>
    <row r="264" ht="12.75">
      <c r="BN264" s="1"/>
    </row>
    <row r="265" ht="12.75">
      <c r="BN265" s="1"/>
    </row>
    <row r="266" ht="12.75">
      <c r="BN266" s="1"/>
    </row>
    <row r="267" ht="12.75">
      <c r="BN267" s="1"/>
    </row>
    <row r="268" ht="12.75">
      <c r="BN268" s="1"/>
    </row>
    <row r="269" ht="12.75">
      <c r="BN269" s="1"/>
    </row>
    <row r="270" ht="12.75">
      <c r="BN270" s="1"/>
    </row>
    <row r="271" ht="12.75">
      <c r="BN271" s="1"/>
    </row>
    <row r="272" ht="12.75">
      <c r="BN272" s="1"/>
    </row>
    <row r="273" ht="12.75">
      <c r="BN273" s="1"/>
    </row>
    <row r="274" ht="12.75">
      <c r="BN274" s="1"/>
    </row>
    <row r="275" ht="12.75">
      <c r="BN275" s="1"/>
    </row>
    <row r="276" ht="12.75">
      <c r="BN276" s="1"/>
    </row>
    <row r="277" ht="12.75">
      <c r="BN277" s="1"/>
    </row>
    <row r="278" ht="12.75">
      <c r="BN278" s="1"/>
    </row>
    <row r="279" ht="12.75">
      <c r="BN279" s="1"/>
    </row>
    <row r="280" ht="12.75">
      <c r="BN280" s="1"/>
    </row>
    <row r="281" ht="12.75">
      <c r="BN281" s="1"/>
    </row>
    <row r="282" ht="12.75">
      <c r="BN282" s="1"/>
    </row>
    <row r="283" ht="12.75">
      <c r="BN283" s="1"/>
    </row>
    <row r="284" ht="12.75">
      <c r="BN284" s="1"/>
    </row>
    <row r="285" ht="12.75">
      <c r="BN285" s="1"/>
    </row>
    <row r="286" ht="12.75">
      <c r="BN286" s="1"/>
    </row>
    <row r="287" ht="12.75">
      <c r="BN287" s="1"/>
    </row>
    <row r="288" ht="12.75">
      <c r="BN288" s="4"/>
    </row>
    <row r="290" ht="12.75">
      <c r="BN290" s="8"/>
    </row>
  </sheetData>
  <sheetProtection/>
  <mergeCells count="56">
    <mergeCell ref="CS7:CT7"/>
    <mergeCell ref="CU7:CV7"/>
    <mergeCell ref="CW7:CX7"/>
    <mergeCell ref="BN37:BO37"/>
    <mergeCell ref="BC7:BD7"/>
    <mergeCell ref="BK7:BL7"/>
    <mergeCell ref="BG7:BH7"/>
    <mergeCell ref="BE7:BF7"/>
    <mergeCell ref="BI7:BJ7"/>
    <mergeCell ref="BN7:BN8"/>
    <mergeCell ref="CQ7:CR7"/>
    <mergeCell ref="BN34:BO34"/>
    <mergeCell ref="BN35:BO35"/>
    <mergeCell ref="BN36:BO36"/>
    <mergeCell ref="CE7:CF7"/>
    <mergeCell ref="CG7:CH7"/>
    <mergeCell ref="CI7:CJ7"/>
    <mergeCell ref="BU7:BV7"/>
    <mergeCell ref="BY7:BZ7"/>
    <mergeCell ref="CA7:CB7"/>
    <mergeCell ref="CC7:CD7"/>
    <mergeCell ref="CK7:CL7"/>
    <mergeCell ref="BQ7:BR7"/>
    <mergeCell ref="BS7:BT7"/>
    <mergeCell ref="BA7:BB7"/>
    <mergeCell ref="AU7:AV7"/>
    <mergeCell ref="AW7:AX7"/>
    <mergeCell ref="AY7:AZ7"/>
    <mergeCell ref="BO7:BP7"/>
    <mergeCell ref="H7:I7"/>
    <mergeCell ref="Z7:AA7"/>
    <mergeCell ref="AB7:AC7"/>
    <mergeCell ref="AD7:AE7"/>
    <mergeCell ref="U7:V7"/>
    <mergeCell ref="J7:K7"/>
    <mergeCell ref="W7:X7"/>
    <mergeCell ref="A6:A8"/>
    <mergeCell ref="B6:M6"/>
    <mergeCell ref="O6:X6"/>
    <mergeCell ref="L7:M7"/>
    <mergeCell ref="O7:P7"/>
    <mergeCell ref="Q7:R7"/>
    <mergeCell ref="S7:T7"/>
    <mergeCell ref="B7:C7"/>
    <mergeCell ref="D7:E7"/>
    <mergeCell ref="F7:G7"/>
    <mergeCell ref="CM7:CN7"/>
    <mergeCell ref="CO7:CP7"/>
    <mergeCell ref="Z6:AS6"/>
    <mergeCell ref="AJ7:AK7"/>
    <mergeCell ref="AL7:AM7"/>
    <mergeCell ref="AN7:AO7"/>
    <mergeCell ref="AP7:AQ7"/>
    <mergeCell ref="AR7:AS7"/>
    <mergeCell ref="AU6:BL6"/>
    <mergeCell ref="AF7:AI7"/>
  </mergeCells>
  <printOptions/>
  <pageMargins left="2.12" right="0.75" top="1" bottom="1" header="0.5" footer="0.5"/>
  <pageSetup horizontalDpi="1200" verticalDpi="1200" orientation="landscape" paperSize="9" scale="53" r:id="rId1"/>
  <colBreaks count="2" manualBreakCount="2">
    <brk id="20" max="38" man="1"/>
    <brk id="65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7"/>
  <sheetViews>
    <sheetView view="pageBreakPreview" zoomScale="77" zoomScaleSheetLayoutView="77" zoomScalePageLayoutView="0" workbookViewId="0" topLeftCell="A10">
      <selection activeCell="G19" sqref="G19"/>
    </sheetView>
  </sheetViews>
  <sheetFormatPr defaultColWidth="9.140625" defaultRowHeight="12.75"/>
  <cols>
    <col min="1" max="1" width="19.7109375" style="0" customWidth="1"/>
    <col min="2" max="2" width="10.28125" style="0" hidden="1" customWidth="1"/>
    <col min="3" max="3" width="23.8515625" style="0" customWidth="1"/>
    <col min="4" max="4" width="12.00390625" style="0" hidden="1" customWidth="1"/>
    <col min="5" max="5" width="24.00390625" style="0" customWidth="1"/>
    <col min="6" max="6" width="10.57421875" style="0" hidden="1" customWidth="1"/>
    <col min="7" max="7" width="31.28125" style="0" customWidth="1"/>
    <col min="8" max="9" width="9.7109375" style="0" customWidth="1"/>
  </cols>
  <sheetData>
    <row r="1" spans="1:9" ht="15.75" customHeight="1">
      <c r="A1" s="655" t="s">
        <v>321</v>
      </c>
      <c r="B1" s="655"/>
      <c r="C1" s="655"/>
      <c r="D1" s="655"/>
      <c r="E1" s="655"/>
      <c r="F1" s="655"/>
      <c r="G1" s="655"/>
      <c r="H1" s="95"/>
      <c r="I1" s="95"/>
    </row>
    <row r="2" spans="1:9" ht="15.75">
      <c r="A2" s="655"/>
      <c r="B2" s="655"/>
      <c r="C2" s="655"/>
      <c r="D2" s="655"/>
      <c r="E2" s="655"/>
      <c r="F2" s="655"/>
      <c r="G2" s="655"/>
      <c r="H2" s="95"/>
      <c r="I2" s="95"/>
    </row>
    <row r="3" spans="1:9" ht="21.75" customHeight="1">
      <c r="A3" s="655" t="str">
        <f>Дата!B2</f>
        <v>19 июня 2019 год</v>
      </c>
      <c r="B3" s="655"/>
      <c r="C3" s="655"/>
      <c r="D3" s="655"/>
      <c r="E3" s="655"/>
      <c r="F3" s="655"/>
      <c r="G3" s="655"/>
      <c r="H3" s="95"/>
      <c r="I3" s="95"/>
    </row>
    <row r="4" spans="1:9" ht="21.75" customHeight="1">
      <c r="A4" s="661" t="s">
        <v>325</v>
      </c>
      <c r="B4" s="661"/>
      <c r="C4" s="661"/>
      <c r="D4" s="661"/>
      <c r="E4" s="661"/>
      <c r="F4" s="661"/>
      <c r="G4" s="661"/>
      <c r="H4" s="95"/>
      <c r="I4" s="95"/>
    </row>
    <row r="5" ht="13.5" customHeight="1" thickBot="1"/>
    <row r="6" spans="1:7" ht="40.5" customHeight="1" thickBot="1">
      <c r="A6" s="664" t="s">
        <v>22</v>
      </c>
      <c r="B6" s="656" t="s">
        <v>351</v>
      </c>
      <c r="C6" s="657"/>
      <c r="D6" s="656" t="s">
        <v>352</v>
      </c>
      <c r="E6" s="657"/>
      <c r="F6" s="294" t="s">
        <v>288</v>
      </c>
      <c r="G6" s="658" t="s">
        <v>202</v>
      </c>
    </row>
    <row r="7" spans="1:7" ht="34.5" customHeight="1" thickBot="1">
      <c r="A7" s="665"/>
      <c r="B7" s="34" t="s">
        <v>23</v>
      </c>
      <c r="C7" s="272" t="s">
        <v>46</v>
      </c>
      <c r="D7" s="548" t="s">
        <v>24</v>
      </c>
      <c r="E7" s="272" t="s">
        <v>46</v>
      </c>
      <c r="F7" s="548" t="s">
        <v>25</v>
      </c>
      <c r="G7" s="659"/>
    </row>
    <row r="8" spans="1:7" ht="19.5" customHeight="1">
      <c r="A8" s="37">
        <v>2</v>
      </c>
      <c r="B8" s="636"/>
      <c r="C8" s="639"/>
      <c r="D8" s="60"/>
      <c r="E8" s="64"/>
      <c r="F8" s="636"/>
      <c r="G8" s="639"/>
    </row>
    <row r="9" spans="1:7" ht="19.5" customHeight="1">
      <c r="A9" s="42">
        <v>3</v>
      </c>
      <c r="B9" s="637"/>
      <c r="C9" s="640">
        <v>49</v>
      </c>
      <c r="D9" s="568"/>
      <c r="E9" s="635">
        <v>273</v>
      </c>
      <c r="F9" s="642"/>
      <c r="G9" s="644">
        <f>C9+E9</f>
        <v>322</v>
      </c>
    </row>
    <row r="10" spans="1:7" ht="19.5" customHeight="1">
      <c r="A10" s="70">
        <v>4</v>
      </c>
      <c r="B10" s="637"/>
      <c r="C10" s="640">
        <v>49</v>
      </c>
      <c r="D10" s="568"/>
      <c r="E10" s="635">
        <v>276</v>
      </c>
      <c r="F10" s="642"/>
      <c r="G10" s="644">
        <f aca="true" t="shared" si="0" ref="G10:G32">C10+E10</f>
        <v>325</v>
      </c>
    </row>
    <row r="11" spans="1:7" ht="19.5" customHeight="1">
      <c r="A11" s="70">
        <v>5</v>
      </c>
      <c r="B11" s="637"/>
      <c r="C11" s="640">
        <v>49</v>
      </c>
      <c r="D11" s="568"/>
      <c r="E11" s="635">
        <v>277</v>
      </c>
      <c r="F11" s="642"/>
      <c r="G11" s="644">
        <f t="shared" si="0"/>
        <v>326</v>
      </c>
    </row>
    <row r="12" spans="1:7" ht="19.5" customHeight="1">
      <c r="A12" s="70">
        <v>6</v>
      </c>
      <c r="B12" s="637"/>
      <c r="C12" s="640">
        <v>52</v>
      </c>
      <c r="D12" s="568"/>
      <c r="E12" s="635">
        <v>275</v>
      </c>
      <c r="F12" s="642"/>
      <c r="G12" s="644">
        <f t="shared" si="0"/>
        <v>327</v>
      </c>
    </row>
    <row r="13" spans="1:7" ht="19.5" customHeight="1">
      <c r="A13" s="70">
        <v>7</v>
      </c>
      <c r="B13" s="637"/>
      <c r="C13" s="640">
        <v>61</v>
      </c>
      <c r="D13" s="568"/>
      <c r="E13" s="635">
        <v>272</v>
      </c>
      <c r="F13" s="642"/>
      <c r="G13" s="644">
        <f t="shared" si="0"/>
        <v>333</v>
      </c>
    </row>
    <row r="14" spans="1:7" ht="19.5" customHeight="1">
      <c r="A14" s="70">
        <v>8</v>
      </c>
      <c r="B14" s="637"/>
      <c r="C14" s="640">
        <v>72</v>
      </c>
      <c r="D14" s="568"/>
      <c r="E14" s="635">
        <v>279</v>
      </c>
      <c r="F14" s="642"/>
      <c r="G14" s="644">
        <f t="shared" si="0"/>
        <v>351</v>
      </c>
    </row>
    <row r="15" spans="1:7" ht="19.5" customHeight="1">
      <c r="A15" s="70">
        <v>9</v>
      </c>
      <c r="B15" s="637"/>
      <c r="C15" s="640">
        <v>72</v>
      </c>
      <c r="D15" s="568"/>
      <c r="E15" s="635">
        <v>276</v>
      </c>
      <c r="F15" s="642"/>
      <c r="G15" s="644">
        <f t="shared" si="0"/>
        <v>348</v>
      </c>
    </row>
    <row r="16" spans="1:7" ht="19.5" customHeight="1">
      <c r="A16" s="70">
        <v>10</v>
      </c>
      <c r="B16" s="637"/>
      <c r="C16" s="640">
        <v>68</v>
      </c>
      <c r="D16" s="568"/>
      <c r="E16" s="635">
        <v>277</v>
      </c>
      <c r="F16" s="642"/>
      <c r="G16" s="644">
        <f t="shared" si="0"/>
        <v>345</v>
      </c>
    </row>
    <row r="17" spans="1:7" ht="19.5" customHeight="1">
      <c r="A17" s="70">
        <v>11</v>
      </c>
      <c r="B17" s="637"/>
      <c r="C17" s="640">
        <v>74</v>
      </c>
      <c r="D17" s="568"/>
      <c r="E17" s="635">
        <v>277</v>
      </c>
      <c r="F17" s="642"/>
      <c r="G17" s="644">
        <f t="shared" si="0"/>
        <v>351</v>
      </c>
    </row>
    <row r="18" spans="1:7" ht="19.5" customHeight="1">
      <c r="A18" s="70">
        <v>12</v>
      </c>
      <c r="B18" s="637"/>
      <c r="C18" s="640">
        <v>71</v>
      </c>
      <c r="D18" s="568"/>
      <c r="E18" s="635">
        <v>282</v>
      </c>
      <c r="F18" s="642"/>
      <c r="G18" s="644">
        <f t="shared" si="0"/>
        <v>353</v>
      </c>
    </row>
    <row r="19" spans="1:7" ht="19.5" customHeight="1">
      <c r="A19" s="70">
        <v>13</v>
      </c>
      <c r="B19" s="637"/>
      <c r="C19" s="640">
        <v>71</v>
      </c>
      <c r="D19" s="568"/>
      <c r="E19" s="635">
        <v>277</v>
      </c>
      <c r="F19" s="642"/>
      <c r="G19" s="644">
        <f t="shared" si="0"/>
        <v>348</v>
      </c>
    </row>
    <row r="20" spans="1:7" ht="19.5" customHeight="1">
      <c r="A20" s="70">
        <v>14</v>
      </c>
      <c r="B20" s="637"/>
      <c r="C20" s="640">
        <v>66</v>
      </c>
      <c r="D20" s="568"/>
      <c r="E20" s="635">
        <v>282</v>
      </c>
      <c r="F20" s="642"/>
      <c r="G20" s="644">
        <f t="shared" si="0"/>
        <v>348</v>
      </c>
    </row>
    <row r="21" spans="1:7" ht="19.5" customHeight="1">
      <c r="A21" s="70">
        <v>15</v>
      </c>
      <c r="B21" s="637"/>
      <c r="C21" s="640">
        <v>58</v>
      </c>
      <c r="D21" s="568"/>
      <c r="E21" s="635">
        <v>279</v>
      </c>
      <c r="F21" s="642"/>
      <c r="G21" s="644">
        <f t="shared" si="0"/>
        <v>337</v>
      </c>
    </row>
    <row r="22" spans="1:7" ht="19.5" customHeight="1">
      <c r="A22" s="70">
        <v>16</v>
      </c>
      <c r="B22" s="637"/>
      <c r="C22" s="640">
        <v>67</v>
      </c>
      <c r="D22" s="568"/>
      <c r="E22" s="635">
        <v>278</v>
      </c>
      <c r="F22" s="642"/>
      <c r="G22" s="644">
        <f t="shared" si="0"/>
        <v>345</v>
      </c>
    </row>
    <row r="23" spans="1:7" ht="19.5" customHeight="1">
      <c r="A23" s="70">
        <v>17</v>
      </c>
      <c r="B23" s="637"/>
      <c r="C23" s="640">
        <v>64</v>
      </c>
      <c r="D23" s="568"/>
      <c r="E23" s="635">
        <v>278</v>
      </c>
      <c r="F23" s="642"/>
      <c r="G23" s="644">
        <f t="shared" si="0"/>
        <v>342</v>
      </c>
    </row>
    <row r="24" spans="1:7" ht="19.5" customHeight="1">
      <c r="A24" s="70">
        <v>18</v>
      </c>
      <c r="B24" s="637"/>
      <c r="C24" s="640">
        <v>55</v>
      </c>
      <c r="D24" s="568"/>
      <c r="E24" s="635">
        <v>276</v>
      </c>
      <c r="F24" s="642"/>
      <c r="G24" s="644">
        <f t="shared" si="0"/>
        <v>331</v>
      </c>
    </row>
    <row r="25" spans="1:7" ht="19.5" customHeight="1">
      <c r="A25" s="70">
        <v>19</v>
      </c>
      <c r="B25" s="637"/>
      <c r="C25" s="640">
        <v>53</v>
      </c>
      <c r="D25" s="568"/>
      <c r="E25" s="635">
        <v>276</v>
      </c>
      <c r="F25" s="642"/>
      <c r="G25" s="644">
        <f t="shared" si="0"/>
        <v>329</v>
      </c>
    </row>
    <row r="26" spans="1:7" ht="19.5" customHeight="1">
      <c r="A26" s="70">
        <v>20</v>
      </c>
      <c r="B26" s="637"/>
      <c r="C26" s="640">
        <v>62</v>
      </c>
      <c r="D26" s="568"/>
      <c r="E26" s="635">
        <v>280</v>
      </c>
      <c r="F26" s="642"/>
      <c r="G26" s="644">
        <f t="shared" si="0"/>
        <v>342</v>
      </c>
    </row>
    <row r="27" spans="1:7" ht="19.5" customHeight="1">
      <c r="A27" s="70">
        <v>21</v>
      </c>
      <c r="B27" s="637"/>
      <c r="C27" s="640">
        <v>72</v>
      </c>
      <c r="D27" s="568"/>
      <c r="E27" s="635">
        <v>281</v>
      </c>
      <c r="F27" s="642"/>
      <c r="G27" s="644">
        <f t="shared" si="0"/>
        <v>353</v>
      </c>
    </row>
    <row r="28" spans="1:7" ht="19.5" customHeight="1">
      <c r="A28" s="70">
        <v>22</v>
      </c>
      <c r="B28" s="637"/>
      <c r="C28" s="640">
        <v>69</v>
      </c>
      <c r="D28" s="568"/>
      <c r="E28" s="635">
        <v>283</v>
      </c>
      <c r="F28" s="642"/>
      <c r="G28" s="644">
        <f t="shared" si="0"/>
        <v>352</v>
      </c>
    </row>
    <row r="29" spans="1:7" ht="19.5" customHeight="1">
      <c r="A29" s="70">
        <v>23</v>
      </c>
      <c r="B29" s="637"/>
      <c r="C29" s="640">
        <v>72</v>
      </c>
      <c r="D29" s="568"/>
      <c r="E29" s="635">
        <v>284</v>
      </c>
      <c r="F29" s="642"/>
      <c r="G29" s="644">
        <f t="shared" si="0"/>
        <v>356</v>
      </c>
    </row>
    <row r="30" spans="1:7" ht="19.5" customHeight="1">
      <c r="A30" s="70">
        <v>24</v>
      </c>
      <c r="B30" s="637"/>
      <c r="C30" s="640">
        <v>67</v>
      </c>
      <c r="D30" s="568"/>
      <c r="E30" s="635">
        <v>279</v>
      </c>
      <c r="F30" s="642"/>
      <c r="G30" s="644">
        <f t="shared" si="0"/>
        <v>346</v>
      </c>
    </row>
    <row r="31" spans="1:7" ht="19.5" customHeight="1">
      <c r="A31" s="70">
        <v>1</v>
      </c>
      <c r="B31" s="637"/>
      <c r="C31" s="640">
        <v>62</v>
      </c>
      <c r="D31" s="568"/>
      <c r="E31" s="635">
        <v>279</v>
      </c>
      <c r="F31" s="642"/>
      <c r="G31" s="644">
        <f t="shared" si="0"/>
        <v>341</v>
      </c>
    </row>
    <row r="32" spans="1:7" ht="19.5" customHeight="1" thickBot="1">
      <c r="A32" s="72">
        <v>2</v>
      </c>
      <c r="B32" s="638"/>
      <c r="C32" s="641">
        <v>62</v>
      </c>
      <c r="D32" s="571"/>
      <c r="E32" s="635">
        <v>281</v>
      </c>
      <c r="F32" s="643"/>
      <c r="G32" s="645">
        <f t="shared" si="0"/>
        <v>343</v>
      </c>
    </row>
    <row r="33" spans="1:7" ht="24" customHeight="1" thickBot="1">
      <c r="A33" s="662" t="s">
        <v>61</v>
      </c>
      <c r="B33" s="663"/>
      <c r="C33" s="203">
        <f>SUM(C9:C32)</f>
        <v>1517</v>
      </c>
      <c r="D33" s="202"/>
      <c r="E33" s="203">
        <f>SUM(E9:E32)</f>
        <v>6677</v>
      </c>
      <c r="F33" s="202"/>
      <c r="G33" s="203">
        <f>SUM(G9:G32)</f>
        <v>8194</v>
      </c>
    </row>
    <row r="34" spans="1:7" ht="15.75">
      <c r="A34" s="1"/>
      <c r="B34" s="1"/>
      <c r="C34" s="83"/>
      <c r="D34" s="2"/>
      <c r="E34" s="83"/>
      <c r="F34" s="2"/>
      <c r="G34" s="83"/>
    </row>
    <row r="35" spans="2:7" ht="15.75">
      <c r="B35" s="108"/>
      <c r="C35" s="144"/>
      <c r="D35" s="145"/>
      <c r="E35" s="144"/>
      <c r="F35" s="145"/>
      <c r="G35" s="83">
        <f>SUM(G9:G32)/24</f>
        <v>341.4166666666667</v>
      </c>
    </row>
    <row r="36" spans="2:7" ht="15.75">
      <c r="B36" s="146"/>
      <c r="C36" s="144"/>
      <c r="D36" s="145"/>
      <c r="E36" s="144"/>
      <c r="F36" s="147"/>
      <c r="G36" s="83">
        <f>MAX(G9:G32)</f>
        <v>356</v>
      </c>
    </row>
    <row r="37" spans="2:7" ht="15.75">
      <c r="B37" s="148"/>
      <c r="C37" s="144"/>
      <c r="D37" s="145"/>
      <c r="E37" s="144"/>
      <c r="F37" s="147"/>
      <c r="G37" s="566">
        <f>G35/G36</f>
        <v>0.9590355805243447</v>
      </c>
    </row>
    <row r="38" spans="1:7" ht="15.75">
      <c r="A38" s="108"/>
      <c r="F38" s="111"/>
      <c r="G38" s="111"/>
    </row>
    <row r="40" spans="3:7" ht="12.75">
      <c r="C40" s="573" t="s">
        <v>290</v>
      </c>
      <c r="E40" s="99"/>
      <c r="F40" s="99"/>
      <c r="G40" s="646" t="s">
        <v>291</v>
      </c>
    </row>
    <row r="41" spans="1:7" ht="15.75">
      <c r="A41" s="108"/>
      <c r="F41" s="111"/>
      <c r="G41" s="111"/>
    </row>
    <row r="42" spans="1:7" ht="15.75">
      <c r="A42" s="110"/>
      <c r="F42" s="547"/>
      <c r="G42" s="113"/>
    </row>
    <row r="47" ht="12.75">
      <c r="A47" s="546" t="s">
        <v>320</v>
      </c>
    </row>
  </sheetData>
  <sheetProtection/>
  <mergeCells count="8">
    <mergeCell ref="A33:B33"/>
    <mergeCell ref="A1:G2"/>
    <mergeCell ref="A3:G3"/>
    <mergeCell ref="A6:A7"/>
    <mergeCell ref="B6:C6"/>
    <mergeCell ref="D6:E6"/>
    <mergeCell ref="G6:G7"/>
    <mergeCell ref="A4:G4"/>
  </mergeCells>
  <printOptions horizontalCentered="1"/>
  <pageMargins left="0" right="0" top="0.63" bottom="0" header="0.5118110236220472" footer="0.5118110236220472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7"/>
  <sheetViews>
    <sheetView view="pageBreakPreview" zoomScale="77" zoomScaleSheetLayoutView="77" zoomScalePageLayoutView="0" workbookViewId="0" topLeftCell="A1">
      <selection activeCell="G8" sqref="G8"/>
    </sheetView>
  </sheetViews>
  <sheetFormatPr defaultColWidth="9.140625" defaultRowHeight="12.75"/>
  <cols>
    <col min="1" max="1" width="19.7109375" style="0" customWidth="1"/>
    <col min="2" max="2" width="10.28125" style="0" hidden="1" customWidth="1"/>
    <col min="3" max="3" width="23.8515625" style="0" customWidth="1"/>
    <col min="4" max="4" width="12.00390625" style="0" hidden="1" customWidth="1"/>
    <col min="5" max="5" width="24.00390625" style="0" customWidth="1"/>
    <col min="6" max="6" width="10.57421875" style="0" hidden="1" customWidth="1"/>
    <col min="7" max="7" width="31.28125" style="0" customWidth="1"/>
    <col min="8" max="9" width="9.7109375" style="0" customWidth="1"/>
  </cols>
  <sheetData>
    <row r="1" spans="1:9" ht="15.75" customHeight="1">
      <c r="A1" s="655" t="s">
        <v>321</v>
      </c>
      <c r="B1" s="655"/>
      <c r="C1" s="655"/>
      <c r="D1" s="655"/>
      <c r="E1" s="655"/>
      <c r="F1" s="655"/>
      <c r="G1" s="655"/>
      <c r="H1" s="95"/>
      <c r="I1" s="95"/>
    </row>
    <row r="2" spans="1:9" ht="15.75">
      <c r="A2" s="655"/>
      <c r="B2" s="655"/>
      <c r="C2" s="655"/>
      <c r="D2" s="655"/>
      <c r="E2" s="655"/>
      <c r="F2" s="655"/>
      <c r="G2" s="655"/>
      <c r="H2" s="95"/>
      <c r="I2" s="95"/>
    </row>
    <row r="3" spans="1:9" ht="21.75" customHeight="1">
      <c r="A3" s="655" t="str">
        <f>Дата!B2</f>
        <v>19 июня 2019 год</v>
      </c>
      <c r="B3" s="655"/>
      <c r="C3" s="655"/>
      <c r="D3" s="655"/>
      <c r="E3" s="655"/>
      <c r="F3" s="655"/>
      <c r="G3" s="655"/>
      <c r="H3" s="95"/>
      <c r="I3" s="95"/>
    </row>
    <row r="4" spans="1:9" ht="21.75" customHeight="1">
      <c r="A4" s="661" t="s">
        <v>346</v>
      </c>
      <c r="B4" s="661"/>
      <c r="C4" s="661"/>
      <c r="D4" s="661"/>
      <c r="E4" s="661"/>
      <c r="F4" s="661"/>
      <c r="G4" s="661"/>
      <c r="H4" s="95"/>
      <c r="I4" s="95"/>
    </row>
    <row r="5" ht="13.5" customHeight="1" thickBot="1"/>
    <row r="6" spans="1:7" ht="40.5" customHeight="1" thickBot="1">
      <c r="A6" s="664" t="s">
        <v>22</v>
      </c>
      <c r="B6" s="666" t="s">
        <v>356</v>
      </c>
      <c r="C6" s="667"/>
      <c r="D6" s="666" t="s">
        <v>355</v>
      </c>
      <c r="E6" s="667"/>
      <c r="F6" s="294" t="s">
        <v>288</v>
      </c>
      <c r="G6" s="658" t="s">
        <v>202</v>
      </c>
    </row>
    <row r="7" spans="1:7" ht="34.5" customHeight="1" thickBot="1">
      <c r="A7" s="665"/>
      <c r="B7" s="34" t="s">
        <v>23</v>
      </c>
      <c r="C7" s="272" t="s">
        <v>354</v>
      </c>
      <c r="D7" s="548" t="s">
        <v>24</v>
      </c>
      <c r="E7" s="272" t="s">
        <v>354</v>
      </c>
      <c r="F7" s="548" t="s">
        <v>25</v>
      </c>
      <c r="G7" s="659"/>
    </row>
    <row r="8" spans="1:7" ht="19.5" customHeight="1">
      <c r="A8" s="37">
        <v>2</v>
      </c>
      <c r="B8" s="60"/>
      <c r="C8" s="64"/>
      <c r="D8" s="60"/>
      <c r="E8" s="64"/>
      <c r="F8" s="60"/>
      <c r="G8" s="64"/>
    </row>
    <row r="9" spans="1:7" ht="19.5" customHeight="1">
      <c r="A9" s="42">
        <v>3</v>
      </c>
      <c r="B9" s="61"/>
      <c r="C9" s="567">
        <v>30</v>
      </c>
      <c r="D9" s="568"/>
      <c r="E9" s="567">
        <v>36</v>
      </c>
      <c r="F9" s="569"/>
      <c r="G9" s="567">
        <f>C9+E9</f>
        <v>66</v>
      </c>
    </row>
    <row r="10" spans="1:7" ht="19.5" customHeight="1">
      <c r="A10" s="70">
        <v>4</v>
      </c>
      <c r="B10" s="61"/>
      <c r="C10" s="567">
        <v>25</v>
      </c>
      <c r="D10" s="568"/>
      <c r="E10" s="567">
        <v>34</v>
      </c>
      <c r="F10" s="569"/>
      <c r="G10" s="567">
        <f aca="true" t="shared" si="0" ref="G10:G32">C10+E10</f>
        <v>59</v>
      </c>
    </row>
    <row r="11" spans="1:7" ht="19.5" customHeight="1">
      <c r="A11" s="70">
        <v>5</v>
      </c>
      <c r="B11" s="61"/>
      <c r="C11" s="567">
        <v>24</v>
      </c>
      <c r="D11" s="568"/>
      <c r="E11" s="567">
        <v>34</v>
      </c>
      <c r="F11" s="569"/>
      <c r="G11" s="567">
        <f t="shared" si="0"/>
        <v>58</v>
      </c>
    </row>
    <row r="12" spans="1:7" ht="19.5" customHeight="1">
      <c r="A12" s="70">
        <v>6</v>
      </c>
      <c r="B12" s="61"/>
      <c r="C12" s="567">
        <v>28</v>
      </c>
      <c r="D12" s="568"/>
      <c r="E12" s="567">
        <v>39</v>
      </c>
      <c r="F12" s="569"/>
      <c r="G12" s="567">
        <f t="shared" si="0"/>
        <v>67</v>
      </c>
    </row>
    <row r="13" spans="1:7" ht="19.5" customHeight="1">
      <c r="A13" s="70">
        <v>7</v>
      </c>
      <c r="B13" s="61"/>
      <c r="C13" s="567">
        <v>33</v>
      </c>
      <c r="D13" s="568"/>
      <c r="E13" s="567">
        <v>47</v>
      </c>
      <c r="F13" s="569"/>
      <c r="G13" s="567">
        <f t="shared" si="0"/>
        <v>80</v>
      </c>
    </row>
    <row r="14" spans="1:7" ht="19.5" customHeight="1">
      <c r="A14" s="70">
        <v>8</v>
      </c>
      <c r="B14" s="61"/>
      <c r="C14" s="567">
        <v>37</v>
      </c>
      <c r="D14" s="568"/>
      <c r="E14" s="567">
        <v>44</v>
      </c>
      <c r="F14" s="569"/>
      <c r="G14" s="567">
        <f t="shared" si="0"/>
        <v>81</v>
      </c>
    </row>
    <row r="15" spans="1:7" ht="19.5" customHeight="1">
      <c r="A15" s="70">
        <v>9</v>
      </c>
      <c r="B15" s="61"/>
      <c r="C15" s="567">
        <v>28</v>
      </c>
      <c r="D15" s="568"/>
      <c r="E15" s="567">
        <v>42</v>
      </c>
      <c r="F15" s="569"/>
      <c r="G15" s="567">
        <f t="shared" si="0"/>
        <v>70</v>
      </c>
    </row>
    <row r="16" spans="1:7" ht="19.5" customHeight="1">
      <c r="A16" s="70">
        <v>10</v>
      </c>
      <c r="B16" s="61"/>
      <c r="C16" s="567">
        <v>29</v>
      </c>
      <c r="D16" s="568"/>
      <c r="E16" s="567">
        <v>41</v>
      </c>
      <c r="F16" s="569"/>
      <c r="G16" s="567">
        <f t="shared" si="0"/>
        <v>70</v>
      </c>
    </row>
    <row r="17" spans="1:7" ht="19.5" customHeight="1">
      <c r="A17" s="70">
        <v>11</v>
      </c>
      <c r="B17" s="61"/>
      <c r="C17" s="567">
        <v>34</v>
      </c>
      <c r="D17" s="568"/>
      <c r="E17" s="567">
        <v>46</v>
      </c>
      <c r="F17" s="569"/>
      <c r="G17" s="567">
        <f t="shared" si="0"/>
        <v>80</v>
      </c>
    </row>
    <row r="18" spans="1:7" ht="19.5" customHeight="1">
      <c r="A18" s="70">
        <v>12</v>
      </c>
      <c r="B18" s="61"/>
      <c r="C18" s="567">
        <v>34</v>
      </c>
      <c r="D18" s="568"/>
      <c r="E18" s="567">
        <v>41</v>
      </c>
      <c r="F18" s="569"/>
      <c r="G18" s="567">
        <f t="shared" si="0"/>
        <v>75</v>
      </c>
    </row>
    <row r="19" spans="1:7" ht="19.5" customHeight="1">
      <c r="A19" s="70">
        <v>13</v>
      </c>
      <c r="B19" s="61"/>
      <c r="C19" s="567">
        <v>34</v>
      </c>
      <c r="D19" s="568"/>
      <c r="E19" s="567">
        <v>35</v>
      </c>
      <c r="F19" s="569"/>
      <c r="G19" s="567">
        <f t="shared" si="0"/>
        <v>69</v>
      </c>
    </row>
    <row r="20" spans="1:7" ht="19.5" customHeight="1">
      <c r="A20" s="70">
        <v>14</v>
      </c>
      <c r="B20" s="61"/>
      <c r="C20" s="567">
        <v>34</v>
      </c>
      <c r="D20" s="568"/>
      <c r="E20" s="567">
        <v>32</v>
      </c>
      <c r="F20" s="569"/>
      <c r="G20" s="567">
        <f t="shared" si="0"/>
        <v>66</v>
      </c>
    </row>
    <row r="21" spans="1:7" ht="19.5" customHeight="1">
      <c r="A21" s="70">
        <v>15</v>
      </c>
      <c r="B21" s="61"/>
      <c r="C21" s="567">
        <v>33</v>
      </c>
      <c r="D21" s="568"/>
      <c r="E21" s="567">
        <v>32</v>
      </c>
      <c r="F21" s="569"/>
      <c r="G21" s="567">
        <f t="shared" si="0"/>
        <v>65</v>
      </c>
    </row>
    <row r="22" spans="1:7" ht="19.5" customHeight="1">
      <c r="A22" s="70">
        <v>16</v>
      </c>
      <c r="B22" s="61"/>
      <c r="C22" s="567">
        <v>29</v>
      </c>
      <c r="D22" s="568"/>
      <c r="E22" s="567">
        <v>29</v>
      </c>
      <c r="F22" s="569"/>
      <c r="G22" s="567">
        <f t="shared" si="0"/>
        <v>58</v>
      </c>
    </row>
    <row r="23" spans="1:7" ht="19.5" customHeight="1">
      <c r="A23" s="70">
        <v>17</v>
      </c>
      <c r="B23" s="61"/>
      <c r="C23" s="567">
        <v>33</v>
      </c>
      <c r="D23" s="568"/>
      <c r="E23" s="567">
        <v>33</v>
      </c>
      <c r="F23" s="569"/>
      <c r="G23" s="567">
        <f t="shared" si="0"/>
        <v>66</v>
      </c>
    </row>
    <row r="24" spans="1:7" ht="19.5" customHeight="1">
      <c r="A24" s="70">
        <v>18</v>
      </c>
      <c r="B24" s="61"/>
      <c r="C24" s="567">
        <v>40</v>
      </c>
      <c r="D24" s="568"/>
      <c r="E24" s="567">
        <v>33</v>
      </c>
      <c r="F24" s="569"/>
      <c r="G24" s="567">
        <f t="shared" si="0"/>
        <v>73</v>
      </c>
    </row>
    <row r="25" spans="1:7" ht="19.5" customHeight="1">
      <c r="A25" s="70">
        <v>19</v>
      </c>
      <c r="B25" s="61"/>
      <c r="C25" s="567">
        <v>38</v>
      </c>
      <c r="D25" s="568"/>
      <c r="E25" s="567">
        <v>39</v>
      </c>
      <c r="F25" s="569"/>
      <c r="G25" s="567">
        <f t="shared" si="0"/>
        <v>77</v>
      </c>
    </row>
    <row r="26" spans="1:7" ht="19.5" customHeight="1">
      <c r="A26" s="70">
        <v>20</v>
      </c>
      <c r="B26" s="61"/>
      <c r="C26" s="567">
        <v>37</v>
      </c>
      <c r="D26" s="568"/>
      <c r="E26" s="567">
        <v>38</v>
      </c>
      <c r="F26" s="569"/>
      <c r="G26" s="567">
        <f t="shared" si="0"/>
        <v>75</v>
      </c>
    </row>
    <row r="27" spans="1:7" ht="19.5" customHeight="1">
      <c r="A27" s="70">
        <v>21</v>
      </c>
      <c r="B27" s="61"/>
      <c r="C27" s="567">
        <v>44</v>
      </c>
      <c r="D27" s="568"/>
      <c r="E27" s="567">
        <v>53</v>
      </c>
      <c r="F27" s="569"/>
      <c r="G27" s="567">
        <f t="shared" si="0"/>
        <v>97</v>
      </c>
    </row>
    <row r="28" spans="1:7" ht="19.5" customHeight="1">
      <c r="A28" s="70">
        <v>22</v>
      </c>
      <c r="B28" s="61"/>
      <c r="C28" s="567">
        <v>53</v>
      </c>
      <c r="D28" s="568"/>
      <c r="E28" s="567">
        <v>54</v>
      </c>
      <c r="F28" s="569"/>
      <c r="G28" s="567">
        <f t="shared" si="0"/>
        <v>107</v>
      </c>
    </row>
    <row r="29" spans="1:7" ht="19.5" customHeight="1">
      <c r="A29" s="70">
        <v>23</v>
      </c>
      <c r="B29" s="61"/>
      <c r="C29" s="567">
        <v>42</v>
      </c>
      <c r="D29" s="568"/>
      <c r="E29" s="567">
        <v>54</v>
      </c>
      <c r="F29" s="569"/>
      <c r="G29" s="567">
        <f t="shared" si="0"/>
        <v>96</v>
      </c>
    </row>
    <row r="30" spans="1:7" ht="19.5" customHeight="1">
      <c r="A30" s="70">
        <v>24</v>
      </c>
      <c r="B30" s="61"/>
      <c r="C30" s="567">
        <v>39</v>
      </c>
      <c r="D30" s="568"/>
      <c r="E30" s="567">
        <v>46</v>
      </c>
      <c r="F30" s="569"/>
      <c r="G30" s="567">
        <f t="shared" si="0"/>
        <v>85</v>
      </c>
    </row>
    <row r="31" spans="1:7" ht="19.5" customHeight="1">
      <c r="A31" s="70">
        <v>1</v>
      </c>
      <c r="B31" s="61"/>
      <c r="C31" s="567">
        <v>33</v>
      </c>
      <c r="D31" s="568"/>
      <c r="E31" s="567">
        <v>42</v>
      </c>
      <c r="F31" s="569"/>
      <c r="G31" s="567">
        <f t="shared" si="0"/>
        <v>75</v>
      </c>
    </row>
    <row r="32" spans="1:7" ht="19.5" customHeight="1" thickBot="1">
      <c r="A32" s="72">
        <v>2</v>
      </c>
      <c r="B32" s="143"/>
      <c r="C32" s="570">
        <v>29</v>
      </c>
      <c r="D32" s="571"/>
      <c r="E32" s="570">
        <v>39</v>
      </c>
      <c r="F32" s="572"/>
      <c r="G32" s="567">
        <f t="shared" si="0"/>
        <v>68</v>
      </c>
    </row>
    <row r="33" spans="1:7" ht="24" customHeight="1" thickBot="1">
      <c r="A33" s="662" t="s">
        <v>61</v>
      </c>
      <c r="B33" s="663"/>
      <c r="C33" s="203">
        <f>SUM(C9:C32)</f>
        <v>820</v>
      </c>
      <c r="D33" s="202"/>
      <c r="E33" s="203">
        <f>SUM(E9:E32)</f>
        <v>963</v>
      </c>
      <c r="F33" s="202"/>
      <c r="G33" s="203">
        <f>SUM(G9:G32)</f>
        <v>1783</v>
      </c>
    </row>
    <row r="34" spans="1:7" ht="15.75">
      <c r="A34" s="1"/>
      <c r="B34" s="1"/>
      <c r="C34" s="83"/>
      <c r="D34" s="2"/>
      <c r="E34" s="83"/>
      <c r="F34" s="2"/>
      <c r="G34" s="83"/>
    </row>
    <row r="35" spans="2:7" ht="15.75">
      <c r="B35" s="108"/>
      <c r="C35" s="144"/>
      <c r="D35" s="145"/>
      <c r="E35" s="144"/>
      <c r="F35" s="145"/>
      <c r="G35" s="83">
        <f>SUM(G9:G32)/24</f>
        <v>74.29166666666667</v>
      </c>
    </row>
    <row r="36" spans="2:7" ht="15.75">
      <c r="B36" s="146"/>
      <c r="C36" s="144"/>
      <c r="D36" s="145"/>
      <c r="E36" s="144"/>
      <c r="F36" s="147"/>
      <c r="G36" s="83">
        <f>MAX(G9:G32)</f>
        <v>107</v>
      </c>
    </row>
    <row r="37" spans="2:7" ht="15.75">
      <c r="B37" s="148"/>
      <c r="C37" s="144"/>
      <c r="D37" s="145"/>
      <c r="E37" s="144"/>
      <c r="F37" s="147"/>
      <c r="G37" s="566">
        <f>G35/G36</f>
        <v>0.6943146417445484</v>
      </c>
    </row>
    <row r="38" spans="1:7" ht="15.75">
      <c r="A38" s="108"/>
      <c r="F38" s="111"/>
      <c r="G38" s="111"/>
    </row>
    <row r="40" spans="3:7" ht="12.75">
      <c r="C40" s="573" t="s">
        <v>290</v>
      </c>
      <c r="G40" s="101" t="s">
        <v>291</v>
      </c>
    </row>
    <row r="41" spans="1:7" ht="15.75">
      <c r="A41" s="108"/>
      <c r="F41" s="111"/>
      <c r="G41" s="111"/>
    </row>
    <row r="42" spans="1:7" ht="15.75">
      <c r="A42" s="110"/>
      <c r="F42" s="547"/>
      <c r="G42" s="113"/>
    </row>
    <row r="47" ht="12.75">
      <c r="A47" s="546" t="s">
        <v>320</v>
      </c>
    </row>
  </sheetData>
  <sheetProtection/>
  <mergeCells count="8">
    <mergeCell ref="A33:B33"/>
    <mergeCell ref="A1:G2"/>
    <mergeCell ref="A3:G3"/>
    <mergeCell ref="A4:G4"/>
    <mergeCell ref="A6:A7"/>
    <mergeCell ref="B6:C6"/>
    <mergeCell ref="D6:E6"/>
    <mergeCell ref="G6:G7"/>
  </mergeCells>
  <printOptions horizontalCentered="1"/>
  <pageMargins left="0" right="0" top="0.63" bottom="0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H78"/>
  <sheetViews>
    <sheetView view="pageBreakPreview" zoomScale="70" zoomScaleSheetLayoutView="70" zoomScalePageLayoutView="0" workbookViewId="0" topLeftCell="A1">
      <selection activeCell="I20" sqref="I20"/>
    </sheetView>
  </sheetViews>
  <sheetFormatPr defaultColWidth="9.140625" defaultRowHeight="12.75"/>
  <cols>
    <col min="1" max="1" width="6.00390625" style="0" customWidth="1"/>
    <col min="2" max="13" width="11.57421875" style="0" customWidth="1"/>
    <col min="14" max="14" width="17.28125" style="0" customWidth="1"/>
    <col min="15" max="15" width="23.00390625" style="0" customWidth="1"/>
  </cols>
  <sheetData>
    <row r="1" spans="1:22" ht="33.75" customHeight="1">
      <c r="A1" s="679" t="str">
        <f>'НПС Остров НУМН'!A1</f>
        <v>Ведомость контрольных замеров электрических нагрузок в сетях филиала АО "Горэлектросеть" "ПЭС", присоединенных к сетям АО "Транснефть-Сибирь" Нефтеюганское УМН,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211"/>
      <c r="P1" s="211"/>
      <c r="Q1" s="211"/>
      <c r="R1" s="211"/>
      <c r="S1" s="211"/>
      <c r="T1" s="211"/>
      <c r="U1" s="211"/>
      <c r="V1" s="211"/>
    </row>
    <row r="2" spans="1:22" ht="25.5" customHeight="1">
      <c r="A2" s="680" t="str">
        <f>Дата!B2</f>
        <v>19 июня 2019 год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211"/>
      <c r="P2" s="211"/>
      <c r="Q2" s="211"/>
      <c r="R2" s="211"/>
      <c r="S2" s="211"/>
      <c r="T2" s="211"/>
      <c r="U2" s="211"/>
      <c r="V2" s="211"/>
    </row>
    <row r="3" spans="1:22" ht="25.5" customHeight="1">
      <c r="A3" s="674" t="s">
        <v>329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211"/>
      <c r="P3" s="211"/>
      <c r="Q3" s="211"/>
      <c r="R3" s="211"/>
      <c r="S3" s="211"/>
      <c r="T3" s="211"/>
      <c r="U3" s="211"/>
      <c r="V3" s="211"/>
    </row>
    <row r="4" spans="2:16" ht="16.5" customHeight="1" thickBot="1">
      <c r="B4" s="29"/>
      <c r="C4" s="30"/>
      <c r="D4" s="29"/>
      <c r="E4" s="30"/>
      <c r="F4" s="29"/>
      <c r="G4" s="30"/>
      <c r="H4" s="29"/>
      <c r="I4" s="30"/>
      <c r="J4" s="29"/>
      <c r="K4" s="189"/>
      <c r="O4" s="2"/>
      <c r="P4" s="2"/>
    </row>
    <row r="5" spans="1:16" ht="0.75" customHeight="1" thickBot="1">
      <c r="A5" s="681" t="s">
        <v>22</v>
      </c>
      <c r="B5" s="684" t="s">
        <v>0</v>
      </c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6" t="s">
        <v>336</v>
      </c>
      <c r="O5" s="2"/>
      <c r="P5" s="2"/>
    </row>
    <row r="6" spans="1:16" ht="36.75" customHeight="1" thickBot="1">
      <c r="A6" s="682"/>
      <c r="B6" s="671" t="s">
        <v>6</v>
      </c>
      <c r="C6" s="672"/>
      <c r="D6" s="671" t="s">
        <v>7</v>
      </c>
      <c r="E6" s="672"/>
      <c r="F6" s="669" t="s">
        <v>326</v>
      </c>
      <c r="G6" s="670"/>
      <c r="H6" s="669" t="s">
        <v>327</v>
      </c>
      <c r="I6" s="670"/>
      <c r="J6" s="669" t="s">
        <v>3</v>
      </c>
      <c r="K6" s="670"/>
      <c r="L6" s="669" t="s">
        <v>328</v>
      </c>
      <c r="M6" s="670"/>
      <c r="N6" s="687"/>
      <c r="O6" s="2"/>
      <c r="P6" s="2"/>
    </row>
    <row r="7" spans="1:16" ht="51.75" customHeight="1" thickBot="1">
      <c r="A7" s="683"/>
      <c r="B7" s="557" t="s">
        <v>334</v>
      </c>
      <c r="C7" s="634" t="s">
        <v>150</v>
      </c>
      <c r="D7" s="557" t="s">
        <v>335</v>
      </c>
      <c r="E7" s="634" t="s">
        <v>150</v>
      </c>
      <c r="F7" s="557" t="s">
        <v>330</v>
      </c>
      <c r="G7" s="634" t="s">
        <v>44</v>
      </c>
      <c r="H7" s="557" t="s">
        <v>331</v>
      </c>
      <c r="I7" s="634" t="s">
        <v>44</v>
      </c>
      <c r="J7" s="557" t="s">
        <v>332</v>
      </c>
      <c r="K7" s="634" t="s">
        <v>45</v>
      </c>
      <c r="L7" s="557" t="s">
        <v>333</v>
      </c>
      <c r="M7" s="634" t="s">
        <v>43</v>
      </c>
      <c r="N7" s="688"/>
      <c r="O7" s="2"/>
      <c r="P7" s="2"/>
    </row>
    <row r="8" spans="1:15" ht="19.5" customHeight="1">
      <c r="A8" s="37">
        <v>2</v>
      </c>
      <c r="B8" s="574"/>
      <c r="C8" s="556"/>
      <c r="D8" s="574"/>
      <c r="E8" s="399"/>
      <c r="F8" s="574"/>
      <c r="G8" s="399"/>
      <c r="H8" s="574"/>
      <c r="I8" s="399"/>
      <c r="J8" s="574"/>
      <c r="K8" s="399"/>
      <c r="L8" s="574"/>
      <c r="M8" s="399"/>
      <c r="N8" s="177"/>
      <c r="O8" s="2"/>
    </row>
    <row r="9" spans="1:15" ht="19.5" customHeight="1">
      <c r="A9" s="42">
        <v>3</v>
      </c>
      <c r="B9" s="575"/>
      <c r="C9" s="398">
        <f>ROUND((B9-B8)*120,0)</f>
        <v>0</v>
      </c>
      <c r="D9" s="575"/>
      <c r="E9" s="398">
        <f>ROUND((D9-D8)*120,0)</f>
        <v>0</v>
      </c>
      <c r="F9" s="575"/>
      <c r="G9" s="398">
        <f>ROUND((F9-F8)*200,0)</f>
        <v>0</v>
      </c>
      <c r="H9" s="575"/>
      <c r="I9" s="398">
        <f>ROUND((H9-H8)*200,0)</f>
        <v>0</v>
      </c>
      <c r="J9" s="575"/>
      <c r="K9" s="398">
        <f>ROUND((J9-J8)*60,0)</f>
        <v>0</v>
      </c>
      <c r="L9" s="575"/>
      <c r="M9" s="398">
        <f>ROUND((L9-L8)*120,0)</f>
        <v>0</v>
      </c>
      <c r="N9" s="213">
        <f>M9+K9+I9+G9+E9+C9</f>
        <v>0</v>
      </c>
      <c r="O9" s="2"/>
    </row>
    <row r="10" spans="1:15" ht="19.5" customHeight="1">
      <c r="A10" s="42">
        <v>4</v>
      </c>
      <c r="B10" s="575"/>
      <c r="C10" s="398">
        <f aca="true" t="shared" si="0" ref="C10:C32">ROUND((B10-B9)*120,0)</f>
        <v>0</v>
      </c>
      <c r="D10" s="575"/>
      <c r="E10" s="398">
        <f aca="true" t="shared" si="1" ref="E10:E32">ROUND((D10-D9)*120,0)</f>
        <v>0</v>
      </c>
      <c r="F10" s="575"/>
      <c r="G10" s="398">
        <f aca="true" t="shared" si="2" ref="G10:G32">ROUND((F10-F9)*200,0)</f>
        <v>0</v>
      </c>
      <c r="H10" s="575"/>
      <c r="I10" s="398">
        <f aca="true" t="shared" si="3" ref="I10:I32">ROUND((H10-H9)*200,0)</f>
        <v>0</v>
      </c>
      <c r="J10" s="575"/>
      <c r="K10" s="398">
        <f aca="true" t="shared" si="4" ref="K10:K32">ROUND((J10-J9)*60,0)</f>
        <v>0</v>
      </c>
      <c r="L10" s="575"/>
      <c r="M10" s="398">
        <f aca="true" t="shared" si="5" ref="M10:M32">ROUND((L10-L9)*120,0)</f>
        <v>0</v>
      </c>
      <c r="N10" s="213">
        <f aca="true" t="shared" si="6" ref="N10:N32">M10+K10+I10+G10+E10+C10</f>
        <v>0</v>
      </c>
      <c r="O10" s="2"/>
    </row>
    <row r="11" spans="1:15" ht="19.5" customHeight="1">
      <c r="A11" s="42">
        <v>5</v>
      </c>
      <c r="B11" s="575"/>
      <c r="C11" s="398">
        <f t="shared" si="0"/>
        <v>0</v>
      </c>
      <c r="D11" s="575"/>
      <c r="E11" s="398">
        <f t="shared" si="1"/>
        <v>0</v>
      </c>
      <c r="F11" s="575"/>
      <c r="G11" s="398">
        <f t="shared" si="2"/>
        <v>0</v>
      </c>
      <c r="H11" s="575"/>
      <c r="I11" s="398">
        <f t="shared" si="3"/>
        <v>0</v>
      </c>
      <c r="J11" s="575"/>
      <c r="K11" s="398">
        <f t="shared" si="4"/>
        <v>0</v>
      </c>
      <c r="L11" s="575"/>
      <c r="M11" s="398">
        <f t="shared" si="5"/>
        <v>0</v>
      </c>
      <c r="N11" s="213">
        <f t="shared" si="6"/>
        <v>0</v>
      </c>
      <c r="O11" s="2"/>
    </row>
    <row r="12" spans="1:15" ht="19.5" customHeight="1">
      <c r="A12" s="42">
        <v>6</v>
      </c>
      <c r="B12" s="575"/>
      <c r="C12" s="398">
        <f t="shared" si="0"/>
        <v>0</v>
      </c>
      <c r="D12" s="575"/>
      <c r="E12" s="398">
        <f t="shared" si="1"/>
        <v>0</v>
      </c>
      <c r="F12" s="575"/>
      <c r="G12" s="398">
        <f t="shared" si="2"/>
        <v>0</v>
      </c>
      <c r="H12" s="575"/>
      <c r="I12" s="398">
        <f t="shared" si="3"/>
        <v>0</v>
      </c>
      <c r="J12" s="575"/>
      <c r="K12" s="398">
        <f t="shared" si="4"/>
        <v>0</v>
      </c>
      <c r="L12" s="575"/>
      <c r="M12" s="398">
        <f t="shared" si="5"/>
        <v>0</v>
      </c>
      <c r="N12" s="213">
        <f t="shared" si="6"/>
        <v>0</v>
      </c>
      <c r="O12" s="2"/>
    </row>
    <row r="13" spans="1:15" ht="19.5" customHeight="1">
      <c r="A13" s="42">
        <v>7</v>
      </c>
      <c r="B13" s="575"/>
      <c r="C13" s="398">
        <f t="shared" si="0"/>
        <v>0</v>
      </c>
      <c r="D13" s="575"/>
      <c r="E13" s="398">
        <f t="shared" si="1"/>
        <v>0</v>
      </c>
      <c r="F13" s="575"/>
      <c r="G13" s="398">
        <f t="shared" si="2"/>
        <v>0</v>
      </c>
      <c r="H13" s="575"/>
      <c r="I13" s="398">
        <f t="shared" si="3"/>
        <v>0</v>
      </c>
      <c r="J13" s="575"/>
      <c r="K13" s="398">
        <f t="shared" si="4"/>
        <v>0</v>
      </c>
      <c r="L13" s="575"/>
      <c r="M13" s="398">
        <f t="shared" si="5"/>
        <v>0</v>
      </c>
      <c r="N13" s="213">
        <f t="shared" si="6"/>
        <v>0</v>
      </c>
      <c r="O13" s="2"/>
    </row>
    <row r="14" spans="1:15" ht="19.5" customHeight="1">
      <c r="A14" s="42">
        <v>8</v>
      </c>
      <c r="B14" s="575"/>
      <c r="C14" s="398">
        <f t="shared" si="0"/>
        <v>0</v>
      </c>
      <c r="D14" s="575"/>
      <c r="E14" s="398">
        <f t="shared" si="1"/>
        <v>0</v>
      </c>
      <c r="F14" s="575"/>
      <c r="G14" s="398">
        <f t="shared" si="2"/>
        <v>0</v>
      </c>
      <c r="H14" s="575"/>
      <c r="I14" s="398">
        <f t="shared" si="3"/>
        <v>0</v>
      </c>
      <c r="J14" s="575"/>
      <c r="K14" s="398">
        <f t="shared" si="4"/>
        <v>0</v>
      </c>
      <c r="L14" s="575"/>
      <c r="M14" s="398">
        <f t="shared" si="5"/>
        <v>0</v>
      </c>
      <c r="N14" s="213">
        <f t="shared" si="6"/>
        <v>0</v>
      </c>
      <c r="O14" s="2"/>
    </row>
    <row r="15" spans="1:15" ht="19.5" customHeight="1">
      <c r="A15" s="42">
        <v>9</v>
      </c>
      <c r="B15" s="575"/>
      <c r="C15" s="398">
        <f t="shared" si="0"/>
        <v>0</v>
      </c>
      <c r="D15" s="575"/>
      <c r="E15" s="398">
        <f t="shared" si="1"/>
        <v>0</v>
      </c>
      <c r="F15" s="575"/>
      <c r="G15" s="398">
        <f t="shared" si="2"/>
        <v>0</v>
      </c>
      <c r="H15" s="575"/>
      <c r="I15" s="398">
        <f t="shared" si="3"/>
        <v>0</v>
      </c>
      <c r="J15" s="575"/>
      <c r="K15" s="398">
        <f t="shared" si="4"/>
        <v>0</v>
      </c>
      <c r="L15" s="575"/>
      <c r="M15" s="398">
        <f t="shared" si="5"/>
        <v>0</v>
      </c>
      <c r="N15" s="213">
        <f t="shared" si="6"/>
        <v>0</v>
      </c>
      <c r="O15" s="2"/>
    </row>
    <row r="16" spans="1:15" ht="19.5" customHeight="1">
      <c r="A16" s="42">
        <v>10</v>
      </c>
      <c r="B16" s="575"/>
      <c r="C16" s="398">
        <f t="shared" si="0"/>
        <v>0</v>
      </c>
      <c r="D16" s="575"/>
      <c r="E16" s="398">
        <f t="shared" si="1"/>
        <v>0</v>
      </c>
      <c r="F16" s="575"/>
      <c r="G16" s="398">
        <f t="shared" si="2"/>
        <v>0</v>
      </c>
      <c r="H16" s="575"/>
      <c r="I16" s="398">
        <f t="shared" si="3"/>
        <v>0</v>
      </c>
      <c r="J16" s="575"/>
      <c r="K16" s="398">
        <f t="shared" si="4"/>
        <v>0</v>
      </c>
      <c r="L16" s="575"/>
      <c r="M16" s="398">
        <f t="shared" si="5"/>
        <v>0</v>
      </c>
      <c r="N16" s="213">
        <f t="shared" si="6"/>
        <v>0</v>
      </c>
      <c r="O16" s="2"/>
    </row>
    <row r="17" spans="1:15" ht="19.5" customHeight="1">
      <c r="A17" s="42">
        <v>11</v>
      </c>
      <c r="B17" s="575"/>
      <c r="C17" s="398">
        <f t="shared" si="0"/>
        <v>0</v>
      </c>
      <c r="D17" s="575"/>
      <c r="E17" s="398">
        <f t="shared" si="1"/>
        <v>0</v>
      </c>
      <c r="F17" s="575"/>
      <c r="G17" s="398">
        <f t="shared" si="2"/>
        <v>0</v>
      </c>
      <c r="H17" s="575"/>
      <c r="I17" s="398">
        <f t="shared" si="3"/>
        <v>0</v>
      </c>
      <c r="J17" s="575"/>
      <c r="K17" s="398">
        <f t="shared" si="4"/>
        <v>0</v>
      </c>
      <c r="L17" s="575"/>
      <c r="M17" s="398">
        <f t="shared" si="5"/>
        <v>0</v>
      </c>
      <c r="N17" s="213">
        <f t="shared" si="6"/>
        <v>0</v>
      </c>
      <c r="O17" s="2"/>
    </row>
    <row r="18" spans="1:15" ht="19.5" customHeight="1">
      <c r="A18" s="42">
        <v>12</v>
      </c>
      <c r="B18" s="575"/>
      <c r="C18" s="398">
        <f t="shared" si="0"/>
        <v>0</v>
      </c>
      <c r="D18" s="575"/>
      <c r="E18" s="398">
        <f t="shared" si="1"/>
        <v>0</v>
      </c>
      <c r="F18" s="575"/>
      <c r="G18" s="398">
        <f t="shared" si="2"/>
        <v>0</v>
      </c>
      <c r="H18" s="575"/>
      <c r="I18" s="398">
        <f t="shared" si="3"/>
        <v>0</v>
      </c>
      <c r="J18" s="575"/>
      <c r="K18" s="398">
        <f t="shared" si="4"/>
        <v>0</v>
      </c>
      <c r="L18" s="575"/>
      <c r="M18" s="398">
        <f t="shared" si="5"/>
        <v>0</v>
      </c>
      <c r="N18" s="213">
        <f t="shared" si="6"/>
        <v>0</v>
      </c>
      <c r="O18" s="2"/>
    </row>
    <row r="19" spans="1:15" ht="19.5" customHeight="1">
      <c r="A19" s="42">
        <v>13</v>
      </c>
      <c r="B19" s="575"/>
      <c r="C19" s="398">
        <f t="shared" si="0"/>
        <v>0</v>
      </c>
      <c r="D19" s="575"/>
      <c r="E19" s="398">
        <f t="shared" si="1"/>
        <v>0</v>
      </c>
      <c r="F19" s="575"/>
      <c r="G19" s="398">
        <f t="shared" si="2"/>
        <v>0</v>
      </c>
      <c r="H19" s="575"/>
      <c r="I19" s="398">
        <f t="shared" si="3"/>
        <v>0</v>
      </c>
      <c r="J19" s="575"/>
      <c r="K19" s="398">
        <f t="shared" si="4"/>
        <v>0</v>
      </c>
      <c r="L19" s="575"/>
      <c r="M19" s="398">
        <f t="shared" si="5"/>
        <v>0</v>
      </c>
      <c r="N19" s="213">
        <f t="shared" si="6"/>
        <v>0</v>
      </c>
      <c r="O19" s="2"/>
    </row>
    <row r="20" spans="1:15" ht="19.5" customHeight="1">
      <c r="A20" s="42">
        <v>14</v>
      </c>
      <c r="B20" s="575"/>
      <c r="C20" s="398">
        <f t="shared" si="0"/>
        <v>0</v>
      </c>
      <c r="D20" s="575"/>
      <c r="E20" s="398">
        <f t="shared" si="1"/>
        <v>0</v>
      </c>
      <c r="F20" s="575"/>
      <c r="G20" s="398">
        <f t="shared" si="2"/>
        <v>0</v>
      </c>
      <c r="H20" s="575"/>
      <c r="I20" s="398">
        <f t="shared" si="3"/>
        <v>0</v>
      </c>
      <c r="J20" s="575"/>
      <c r="K20" s="398">
        <f t="shared" si="4"/>
        <v>0</v>
      </c>
      <c r="L20" s="575"/>
      <c r="M20" s="398">
        <f t="shared" si="5"/>
        <v>0</v>
      </c>
      <c r="N20" s="213">
        <f t="shared" si="6"/>
        <v>0</v>
      </c>
      <c r="O20" s="2"/>
    </row>
    <row r="21" spans="1:15" ht="19.5" customHeight="1">
      <c r="A21" s="42">
        <v>15</v>
      </c>
      <c r="B21" s="575"/>
      <c r="C21" s="398">
        <f t="shared" si="0"/>
        <v>0</v>
      </c>
      <c r="D21" s="575"/>
      <c r="E21" s="398">
        <f t="shared" si="1"/>
        <v>0</v>
      </c>
      <c r="F21" s="575"/>
      <c r="G21" s="398">
        <f t="shared" si="2"/>
        <v>0</v>
      </c>
      <c r="H21" s="575"/>
      <c r="I21" s="398">
        <f t="shared" si="3"/>
        <v>0</v>
      </c>
      <c r="J21" s="575"/>
      <c r="K21" s="398">
        <f t="shared" si="4"/>
        <v>0</v>
      </c>
      <c r="L21" s="575"/>
      <c r="M21" s="398">
        <f t="shared" si="5"/>
        <v>0</v>
      </c>
      <c r="N21" s="213">
        <f t="shared" si="6"/>
        <v>0</v>
      </c>
      <c r="O21" s="2"/>
    </row>
    <row r="22" spans="1:15" ht="19.5" customHeight="1">
      <c r="A22" s="42">
        <v>16</v>
      </c>
      <c r="B22" s="575"/>
      <c r="C22" s="398">
        <f t="shared" si="0"/>
        <v>0</v>
      </c>
      <c r="D22" s="575"/>
      <c r="E22" s="398">
        <f t="shared" si="1"/>
        <v>0</v>
      </c>
      <c r="F22" s="575"/>
      <c r="G22" s="398">
        <f t="shared" si="2"/>
        <v>0</v>
      </c>
      <c r="H22" s="575"/>
      <c r="I22" s="398">
        <f t="shared" si="3"/>
        <v>0</v>
      </c>
      <c r="J22" s="575"/>
      <c r="K22" s="398">
        <f t="shared" si="4"/>
        <v>0</v>
      </c>
      <c r="L22" s="575"/>
      <c r="M22" s="398">
        <f t="shared" si="5"/>
        <v>0</v>
      </c>
      <c r="N22" s="213">
        <f t="shared" si="6"/>
        <v>0</v>
      </c>
      <c r="O22" s="2"/>
    </row>
    <row r="23" spans="1:15" ht="19.5" customHeight="1">
      <c r="A23" s="42">
        <v>17</v>
      </c>
      <c r="B23" s="575"/>
      <c r="C23" s="398">
        <f t="shared" si="0"/>
        <v>0</v>
      </c>
      <c r="D23" s="575"/>
      <c r="E23" s="398">
        <f t="shared" si="1"/>
        <v>0</v>
      </c>
      <c r="F23" s="575"/>
      <c r="G23" s="398">
        <f t="shared" si="2"/>
        <v>0</v>
      </c>
      <c r="H23" s="575"/>
      <c r="I23" s="398">
        <f t="shared" si="3"/>
        <v>0</v>
      </c>
      <c r="J23" s="575"/>
      <c r="K23" s="398">
        <f t="shared" si="4"/>
        <v>0</v>
      </c>
      <c r="L23" s="575"/>
      <c r="M23" s="398">
        <f t="shared" si="5"/>
        <v>0</v>
      </c>
      <c r="N23" s="213">
        <f t="shared" si="6"/>
        <v>0</v>
      </c>
      <c r="O23" s="2"/>
    </row>
    <row r="24" spans="1:15" ht="19.5" customHeight="1">
      <c r="A24" s="42">
        <v>18</v>
      </c>
      <c r="B24" s="575"/>
      <c r="C24" s="398">
        <f t="shared" si="0"/>
        <v>0</v>
      </c>
      <c r="D24" s="575"/>
      <c r="E24" s="398">
        <f t="shared" si="1"/>
        <v>0</v>
      </c>
      <c r="F24" s="575"/>
      <c r="G24" s="398">
        <f t="shared" si="2"/>
        <v>0</v>
      </c>
      <c r="H24" s="575"/>
      <c r="I24" s="398">
        <f t="shared" si="3"/>
        <v>0</v>
      </c>
      <c r="J24" s="575"/>
      <c r="K24" s="398">
        <f t="shared" si="4"/>
        <v>0</v>
      </c>
      <c r="L24" s="575"/>
      <c r="M24" s="398">
        <f t="shared" si="5"/>
        <v>0</v>
      </c>
      <c r="N24" s="213">
        <f t="shared" si="6"/>
        <v>0</v>
      </c>
      <c r="O24" s="2"/>
    </row>
    <row r="25" spans="1:15" ht="19.5" customHeight="1">
      <c r="A25" s="42">
        <v>19</v>
      </c>
      <c r="B25" s="575"/>
      <c r="C25" s="398">
        <f t="shared" si="0"/>
        <v>0</v>
      </c>
      <c r="D25" s="575"/>
      <c r="E25" s="398">
        <f t="shared" si="1"/>
        <v>0</v>
      </c>
      <c r="F25" s="575"/>
      <c r="G25" s="398">
        <f t="shared" si="2"/>
        <v>0</v>
      </c>
      <c r="H25" s="575"/>
      <c r="I25" s="398">
        <f t="shared" si="3"/>
        <v>0</v>
      </c>
      <c r="J25" s="575"/>
      <c r="K25" s="398">
        <f t="shared" si="4"/>
        <v>0</v>
      </c>
      <c r="L25" s="575"/>
      <c r="M25" s="398">
        <f t="shared" si="5"/>
        <v>0</v>
      </c>
      <c r="N25" s="213">
        <f t="shared" si="6"/>
        <v>0</v>
      </c>
      <c r="O25" s="2"/>
    </row>
    <row r="26" spans="1:15" ht="19.5" customHeight="1">
      <c r="A26" s="42">
        <v>20</v>
      </c>
      <c r="B26" s="575"/>
      <c r="C26" s="398">
        <f t="shared" si="0"/>
        <v>0</v>
      </c>
      <c r="D26" s="575"/>
      <c r="E26" s="398">
        <f t="shared" si="1"/>
        <v>0</v>
      </c>
      <c r="F26" s="575"/>
      <c r="G26" s="398">
        <f t="shared" si="2"/>
        <v>0</v>
      </c>
      <c r="H26" s="575"/>
      <c r="I26" s="398">
        <f t="shared" si="3"/>
        <v>0</v>
      </c>
      <c r="J26" s="575"/>
      <c r="K26" s="398">
        <f t="shared" si="4"/>
        <v>0</v>
      </c>
      <c r="L26" s="575"/>
      <c r="M26" s="398">
        <f t="shared" si="5"/>
        <v>0</v>
      </c>
      <c r="N26" s="213">
        <f t="shared" si="6"/>
        <v>0</v>
      </c>
      <c r="O26" s="2"/>
    </row>
    <row r="27" spans="1:15" ht="19.5" customHeight="1">
      <c r="A27" s="42">
        <v>21</v>
      </c>
      <c r="B27" s="575"/>
      <c r="C27" s="398">
        <f t="shared" si="0"/>
        <v>0</v>
      </c>
      <c r="D27" s="575"/>
      <c r="E27" s="398">
        <f t="shared" si="1"/>
        <v>0</v>
      </c>
      <c r="F27" s="575"/>
      <c r="G27" s="398">
        <f t="shared" si="2"/>
        <v>0</v>
      </c>
      <c r="H27" s="575"/>
      <c r="I27" s="398">
        <f t="shared" si="3"/>
        <v>0</v>
      </c>
      <c r="J27" s="575"/>
      <c r="K27" s="398">
        <f t="shared" si="4"/>
        <v>0</v>
      </c>
      <c r="L27" s="575"/>
      <c r="M27" s="398">
        <f t="shared" si="5"/>
        <v>0</v>
      </c>
      <c r="N27" s="213">
        <f t="shared" si="6"/>
        <v>0</v>
      </c>
      <c r="O27" s="2"/>
    </row>
    <row r="28" spans="1:15" ht="19.5" customHeight="1">
      <c r="A28" s="42">
        <v>22</v>
      </c>
      <c r="B28" s="575"/>
      <c r="C28" s="398">
        <f t="shared" si="0"/>
        <v>0</v>
      </c>
      <c r="D28" s="575"/>
      <c r="E28" s="398">
        <f t="shared" si="1"/>
        <v>0</v>
      </c>
      <c r="F28" s="575"/>
      <c r="G28" s="398">
        <f t="shared" si="2"/>
        <v>0</v>
      </c>
      <c r="H28" s="575"/>
      <c r="I28" s="398">
        <f t="shared" si="3"/>
        <v>0</v>
      </c>
      <c r="J28" s="575"/>
      <c r="K28" s="398">
        <f t="shared" si="4"/>
        <v>0</v>
      </c>
      <c r="L28" s="575"/>
      <c r="M28" s="398">
        <f t="shared" si="5"/>
        <v>0</v>
      </c>
      <c r="N28" s="213">
        <f t="shared" si="6"/>
        <v>0</v>
      </c>
      <c r="O28" s="2"/>
    </row>
    <row r="29" spans="1:15" ht="19.5" customHeight="1">
      <c r="A29" s="42">
        <v>23</v>
      </c>
      <c r="B29" s="575"/>
      <c r="C29" s="398">
        <f t="shared" si="0"/>
        <v>0</v>
      </c>
      <c r="D29" s="575"/>
      <c r="E29" s="398">
        <f t="shared" si="1"/>
        <v>0</v>
      </c>
      <c r="F29" s="575"/>
      <c r="G29" s="398">
        <f t="shared" si="2"/>
        <v>0</v>
      </c>
      <c r="H29" s="575"/>
      <c r="I29" s="398">
        <f t="shared" si="3"/>
        <v>0</v>
      </c>
      <c r="J29" s="575"/>
      <c r="K29" s="398">
        <f t="shared" si="4"/>
        <v>0</v>
      </c>
      <c r="L29" s="575"/>
      <c r="M29" s="398">
        <f t="shared" si="5"/>
        <v>0</v>
      </c>
      <c r="N29" s="213">
        <f t="shared" si="6"/>
        <v>0</v>
      </c>
      <c r="O29" s="2"/>
    </row>
    <row r="30" spans="1:15" ht="19.5" customHeight="1">
      <c r="A30" s="42">
        <v>24</v>
      </c>
      <c r="B30" s="575"/>
      <c r="C30" s="398">
        <f t="shared" si="0"/>
        <v>0</v>
      </c>
      <c r="D30" s="575"/>
      <c r="E30" s="398">
        <f t="shared" si="1"/>
        <v>0</v>
      </c>
      <c r="F30" s="575"/>
      <c r="G30" s="398">
        <f t="shared" si="2"/>
        <v>0</v>
      </c>
      <c r="H30" s="575"/>
      <c r="I30" s="398">
        <f t="shared" si="3"/>
        <v>0</v>
      </c>
      <c r="J30" s="575"/>
      <c r="K30" s="398">
        <f t="shared" si="4"/>
        <v>0</v>
      </c>
      <c r="L30" s="575"/>
      <c r="M30" s="398">
        <f t="shared" si="5"/>
        <v>0</v>
      </c>
      <c r="N30" s="213">
        <f t="shared" si="6"/>
        <v>0</v>
      </c>
      <c r="O30" s="2"/>
    </row>
    <row r="31" spans="1:15" ht="19.5" customHeight="1">
      <c r="A31" s="42">
        <v>1</v>
      </c>
      <c r="B31" s="575"/>
      <c r="C31" s="398">
        <f t="shared" si="0"/>
        <v>0</v>
      </c>
      <c r="D31" s="575"/>
      <c r="E31" s="398">
        <f t="shared" si="1"/>
        <v>0</v>
      </c>
      <c r="F31" s="575"/>
      <c r="G31" s="398">
        <f t="shared" si="2"/>
        <v>0</v>
      </c>
      <c r="H31" s="575"/>
      <c r="I31" s="398">
        <f t="shared" si="3"/>
        <v>0</v>
      </c>
      <c r="J31" s="575"/>
      <c r="K31" s="398">
        <f t="shared" si="4"/>
        <v>0</v>
      </c>
      <c r="L31" s="575"/>
      <c r="M31" s="398">
        <f t="shared" si="5"/>
        <v>0</v>
      </c>
      <c r="N31" s="213">
        <f t="shared" si="6"/>
        <v>0</v>
      </c>
      <c r="O31" s="2"/>
    </row>
    <row r="32" spans="1:15" ht="19.5" customHeight="1" thickBot="1">
      <c r="A32" s="214">
        <v>2</v>
      </c>
      <c r="B32" s="575"/>
      <c r="C32" s="398">
        <f t="shared" si="0"/>
        <v>0</v>
      </c>
      <c r="D32" s="578"/>
      <c r="E32" s="398">
        <f t="shared" si="1"/>
        <v>0</v>
      </c>
      <c r="F32" s="578"/>
      <c r="G32" s="398">
        <f t="shared" si="2"/>
        <v>0</v>
      </c>
      <c r="H32" s="565"/>
      <c r="I32" s="398">
        <f t="shared" si="3"/>
        <v>0</v>
      </c>
      <c r="J32" s="578"/>
      <c r="K32" s="398">
        <f t="shared" si="4"/>
        <v>0</v>
      </c>
      <c r="L32" s="578"/>
      <c r="M32" s="398">
        <f t="shared" si="5"/>
        <v>0</v>
      </c>
      <c r="N32" s="213">
        <f t="shared" si="6"/>
        <v>0</v>
      </c>
      <c r="O32" s="2"/>
    </row>
    <row r="33" spans="1:15" ht="20.25" thickBot="1">
      <c r="A33" s="662" t="s">
        <v>42</v>
      </c>
      <c r="B33" s="677"/>
      <c r="C33" s="203">
        <f>SUM(C9:C32)</f>
        <v>0</v>
      </c>
      <c r="D33" s="394"/>
      <c r="E33" s="203">
        <f>SUM(E9:E32)</f>
        <v>0</v>
      </c>
      <c r="F33" s="394"/>
      <c r="G33" s="203">
        <f>SUM(G9:G32)</f>
        <v>0</v>
      </c>
      <c r="H33" s="394"/>
      <c r="I33" s="203">
        <f>SUM(I9:I32)</f>
        <v>0</v>
      </c>
      <c r="J33" s="394"/>
      <c r="K33" s="203">
        <f>SUM(K9:K32)</f>
        <v>0</v>
      </c>
      <c r="L33" s="394"/>
      <c r="M33" s="203">
        <f>SUM(M9:M32)</f>
        <v>0</v>
      </c>
      <c r="N33" s="215">
        <f>SUM(N9:N32)</f>
        <v>0</v>
      </c>
      <c r="O33" s="2"/>
    </row>
    <row r="34" spans="1:86" s="2" customFormat="1" ht="24.75" customHeight="1">
      <c r="A34" s="108" t="s">
        <v>50</v>
      </c>
      <c r="C34" s="127">
        <f>SUM(C9:C32)/24</f>
        <v>0</v>
      </c>
      <c r="D34" s="140"/>
      <c r="E34" s="127">
        <f>SUM(E9:E32)/24</f>
        <v>0</v>
      </c>
      <c r="F34" s="140"/>
      <c r="G34" s="127">
        <f>SUM(G9:G32)/24</f>
        <v>0</v>
      </c>
      <c r="H34" s="140"/>
      <c r="I34" s="127">
        <f>SUM(I9:I32)/24</f>
        <v>0</v>
      </c>
      <c r="J34" s="140"/>
      <c r="K34" s="127">
        <f>SUM(K9:K32)/24</f>
        <v>0</v>
      </c>
      <c r="L34" s="140"/>
      <c r="M34" s="127">
        <f>SUM(M9:M32)/24</f>
        <v>0</v>
      </c>
      <c r="N34" s="127">
        <f>SUM(N9:N32)/24</f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</row>
    <row r="35" spans="1:16" s="2" customFormat="1" ht="15.75">
      <c r="A35" s="108" t="s">
        <v>51</v>
      </c>
      <c r="C35" s="127">
        <f>MAX(C9:C32)</f>
        <v>0</v>
      </c>
      <c r="D35" s="193"/>
      <c r="E35" s="127">
        <f>MAX(E9:E32)</f>
        <v>0</v>
      </c>
      <c r="F35" s="193"/>
      <c r="G35" s="127">
        <f>MAX(G9:G32)</f>
        <v>0</v>
      </c>
      <c r="H35" s="193"/>
      <c r="I35" s="127">
        <f>MAX(I9:I32)</f>
        <v>0</v>
      </c>
      <c r="J35" s="193"/>
      <c r="K35" s="127">
        <f>MAX(K9:K32)</f>
        <v>0</v>
      </c>
      <c r="L35" s="193"/>
      <c r="M35" s="127">
        <f>MAX(M9:M32)</f>
        <v>0</v>
      </c>
      <c r="N35" s="127">
        <f>MAX(N9:N32)</f>
        <v>0</v>
      </c>
      <c r="P35"/>
    </row>
    <row r="36" spans="1:16" s="2" customFormat="1" ht="15.75">
      <c r="A36" s="110" t="s">
        <v>54</v>
      </c>
      <c r="C36" s="128" t="e">
        <f>C34/C35</f>
        <v>#DIV/0!</v>
      </c>
      <c r="D36" s="193"/>
      <c r="E36" s="128" t="e">
        <f>E34/E35</f>
        <v>#DIV/0!</v>
      </c>
      <c r="F36" s="193"/>
      <c r="G36" s="128" t="e">
        <f>G34/G35</f>
        <v>#DIV/0!</v>
      </c>
      <c r="H36" s="193"/>
      <c r="I36" s="128" t="e">
        <f>I34/I35</f>
        <v>#DIV/0!</v>
      </c>
      <c r="J36" s="193"/>
      <c r="K36" s="128" t="e">
        <f>K34/K35</f>
        <v>#DIV/0!</v>
      </c>
      <c r="L36" s="193"/>
      <c r="M36" s="128" t="e">
        <f>M34/M35</f>
        <v>#DIV/0!</v>
      </c>
      <c r="N36" s="128" t="e">
        <f>N34/N35</f>
        <v>#DIV/0!</v>
      </c>
      <c r="P36"/>
    </row>
    <row r="37" spans="1:86" s="2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</row>
    <row r="38" spans="1:86" s="2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</row>
    <row r="39" spans="2:86" s="2" customFormat="1" ht="12.75">
      <c r="B39" s="586"/>
      <c r="D39"/>
      <c r="E39"/>
      <c r="F39"/>
      <c r="G39"/>
      <c r="H39"/>
      <c r="I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</row>
    <row r="40" spans="1:86" s="2" customFormat="1" ht="15.75">
      <c r="A40" s="678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675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</row>
    <row r="41" spans="1:86" s="2" customFormat="1" ht="12.75">
      <c r="A41" s="678"/>
      <c r="B41" s="676"/>
      <c r="C41" s="676"/>
      <c r="D41" s="676"/>
      <c r="E41" s="676"/>
      <c r="F41" s="668"/>
      <c r="G41" s="668"/>
      <c r="H41" s="668"/>
      <c r="I41" s="668"/>
      <c r="J41" s="668"/>
      <c r="K41" s="668"/>
      <c r="L41" s="668"/>
      <c r="M41" s="668"/>
      <c r="N41" s="675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</row>
    <row r="42" spans="1:86" s="2" customFormat="1" ht="12.75">
      <c r="A42" s="678"/>
      <c r="B42" s="580"/>
      <c r="C42" s="581"/>
      <c r="D42" s="580"/>
      <c r="E42" s="581"/>
      <c r="F42" s="580"/>
      <c r="G42" s="581"/>
      <c r="H42" s="580"/>
      <c r="I42" s="581"/>
      <c r="J42" s="580"/>
      <c r="K42" s="581"/>
      <c r="L42" s="580"/>
      <c r="M42" s="581"/>
      <c r="N42" s="675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</row>
    <row r="43" spans="1:86" s="2" customFormat="1" ht="15">
      <c r="A43" s="93"/>
      <c r="B43" s="587"/>
      <c r="C43" s="191"/>
      <c r="D43" s="587"/>
      <c r="E43" s="191"/>
      <c r="F43" s="582"/>
      <c r="G43" s="583"/>
      <c r="H43" s="582"/>
      <c r="I43" s="583"/>
      <c r="J43" s="582"/>
      <c r="K43" s="583"/>
      <c r="L43" s="582"/>
      <c r="M43" s="583"/>
      <c r="N43" s="191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</row>
    <row r="44" spans="1:86" s="2" customFormat="1" ht="19.5">
      <c r="A44" s="93"/>
      <c r="B44" s="587"/>
      <c r="C44" s="584"/>
      <c r="D44" s="587"/>
      <c r="E44" s="584"/>
      <c r="F44" s="582"/>
      <c r="G44" s="584"/>
      <c r="H44" s="582"/>
      <c r="I44" s="584"/>
      <c r="J44" s="582"/>
      <c r="K44" s="584"/>
      <c r="L44" s="582"/>
      <c r="M44" s="584"/>
      <c r="N44" s="59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</row>
    <row r="45" spans="1:86" s="2" customFormat="1" ht="19.5">
      <c r="A45" s="93"/>
      <c r="B45" s="587"/>
      <c r="C45" s="584"/>
      <c r="D45" s="587"/>
      <c r="E45" s="584"/>
      <c r="F45" s="582"/>
      <c r="G45" s="584"/>
      <c r="H45" s="582"/>
      <c r="I45" s="584"/>
      <c r="J45" s="582"/>
      <c r="K45" s="584"/>
      <c r="L45" s="582"/>
      <c r="M45" s="584"/>
      <c r="N45" s="594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1:86" s="2" customFormat="1" ht="19.5">
      <c r="A46" s="93"/>
      <c r="B46" s="587"/>
      <c r="C46" s="584"/>
      <c r="D46" s="587"/>
      <c r="E46" s="584"/>
      <c r="F46" s="582"/>
      <c r="G46" s="584"/>
      <c r="H46" s="582"/>
      <c r="I46" s="584"/>
      <c r="J46" s="582"/>
      <c r="K46" s="584"/>
      <c r="L46" s="582"/>
      <c r="M46" s="584"/>
      <c r="N46" s="594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</row>
    <row r="47" spans="1:86" s="2" customFormat="1" ht="19.5">
      <c r="A47" s="93"/>
      <c r="B47" s="587"/>
      <c r="C47" s="584"/>
      <c r="D47" s="587"/>
      <c r="E47" s="584"/>
      <c r="F47" s="582"/>
      <c r="G47" s="584"/>
      <c r="H47" s="582"/>
      <c r="I47" s="584"/>
      <c r="J47" s="582"/>
      <c r="K47" s="584"/>
      <c r="L47" s="582"/>
      <c r="M47" s="584"/>
      <c r="N47" s="594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</row>
    <row r="48" spans="1:86" s="2" customFormat="1" ht="19.5">
      <c r="A48" s="93"/>
      <c r="B48" s="587"/>
      <c r="C48" s="584"/>
      <c r="D48" s="587"/>
      <c r="E48" s="584"/>
      <c r="F48" s="582"/>
      <c r="G48" s="584"/>
      <c r="H48" s="582"/>
      <c r="I48" s="584"/>
      <c r="J48" s="582"/>
      <c r="K48" s="584"/>
      <c r="L48" s="582"/>
      <c r="M48" s="584"/>
      <c r="N48" s="594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</row>
    <row r="49" spans="1:86" s="2" customFormat="1" ht="19.5">
      <c r="A49" s="93"/>
      <c r="B49" s="587"/>
      <c r="C49" s="584"/>
      <c r="D49" s="587"/>
      <c r="E49" s="584"/>
      <c r="F49" s="582"/>
      <c r="G49" s="584"/>
      <c r="H49" s="582"/>
      <c r="I49" s="584"/>
      <c r="J49" s="582"/>
      <c r="K49" s="584"/>
      <c r="L49" s="582"/>
      <c r="M49" s="584"/>
      <c r="N49" s="594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</row>
    <row r="50" spans="1:86" s="104" customFormat="1" ht="19.5">
      <c r="A50" s="93"/>
      <c r="B50" s="587"/>
      <c r="C50" s="584"/>
      <c r="D50" s="587"/>
      <c r="E50" s="584"/>
      <c r="F50" s="582"/>
      <c r="G50" s="584"/>
      <c r="H50" s="582"/>
      <c r="I50" s="584"/>
      <c r="J50" s="582"/>
      <c r="K50" s="584"/>
      <c r="L50" s="582"/>
      <c r="M50" s="584"/>
      <c r="N50" s="594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</row>
    <row r="51" spans="1:86" s="104" customFormat="1" ht="19.5">
      <c r="A51" s="93"/>
      <c r="B51" s="587"/>
      <c r="C51" s="584"/>
      <c r="D51" s="587"/>
      <c r="E51" s="584"/>
      <c r="F51" s="582"/>
      <c r="G51" s="584"/>
      <c r="H51" s="582"/>
      <c r="I51" s="584"/>
      <c r="J51" s="582"/>
      <c r="K51" s="584"/>
      <c r="L51" s="582"/>
      <c r="M51" s="584"/>
      <c r="N51" s="594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</row>
    <row r="52" spans="1:86" s="104" customFormat="1" ht="19.5">
      <c r="A52" s="93"/>
      <c r="B52" s="587"/>
      <c r="C52" s="584"/>
      <c r="D52" s="587"/>
      <c r="E52" s="584"/>
      <c r="F52" s="582"/>
      <c r="G52" s="584"/>
      <c r="H52" s="582"/>
      <c r="I52" s="584"/>
      <c r="J52" s="582"/>
      <c r="K52" s="584"/>
      <c r="L52" s="582"/>
      <c r="M52" s="584"/>
      <c r="N52" s="594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</row>
    <row r="53" spans="1:86" s="104" customFormat="1" ht="19.5">
      <c r="A53" s="93"/>
      <c r="B53" s="587"/>
      <c r="C53" s="584"/>
      <c r="D53" s="587"/>
      <c r="E53" s="584"/>
      <c r="F53" s="582"/>
      <c r="G53" s="584"/>
      <c r="H53" s="582"/>
      <c r="I53" s="584"/>
      <c r="J53" s="582"/>
      <c r="K53" s="584"/>
      <c r="L53" s="582"/>
      <c r="M53" s="584"/>
      <c r="N53" s="594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</row>
    <row r="54" spans="1:86" s="104" customFormat="1" ht="19.5">
      <c r="A54" s="93"/>
      <c r="B54" s="587"/>
      <c r="C54" s="584"/>
      <c r="D54" s="587"/>
      <c r="E54" s="584"/>
      <c r="F54" s="582"/>
      <c r="G54" s="584"/>
      <c r="H54" s="582"/>
      <c r="I54" s="584"/>
      <c r="J54" s="582"/>
      <c r="K54" s="584"/>
      <c r="L54" s="582"/>
      <c r="M54" s="584"/>
      <c r="N54" s="59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</row>
    <row r="55" spans="1:86" s="104" customFormat="1" ht="19.5">
      <c r="A55" s="93"/>
      <c r="B55" s="587"/>
      <c r="C55" s="584"/>
      <c r="D55" s="587"/>
      <c r="E55" s="584"/>
      <c r="F55" s="582"/>
      <c r="G55" s="584"/>
      <c r="H55" s="582"/>
      <c r="I55" s="584"/>
      <c r="J55" s="582"/>
      <c r="K55" s="584"/>
      <c r="L55" s="582"/>
      <c r="M55" s="584"/>
      <c r="N55" s="594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</row>
    <row r="56" spans="1:86" s="104" customFormat="1" ht="19.5">
      <c r="A56" s="93"/>
      <c r="B56" s="587"/>
      <c r="C56" s="584"/>
      <c r="D56" s="587"/>
      <c r="E56" s="584"/>
      <c r="F56" s="582"/>
      <c r="G56" s="584"/>
      <c r="H56" s="582"/>
      <c r="I56" s="584"/>
      <c r="J56" s="582"/>
      <c r="K56" s="584"/>
      <c r="L56" s="582"/>
      <c r="M56" s="584"/>
      <c r="N56" s="594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</row>
    <row r="57" spans="1:86" s="104" customFormat="1" ht="19.5">
      <c r="A57" s="93"/>
      <c r="B57" s="587"/>
      <c r="C57" s="584"/>
      <c r="D57" s="587"/>
      <c r="E57" s="584"/>
      <c r="F57" s="582"/>
      <c r="G57" s="584"/>
      <c r="H57" s="582"/>
      <c r="I57" s="584"/>
      <c r="J57" s="582"/>
      <c r="K57" s="584"/>
      <c r="L57" s="582"/>
      <c r="M57" s="584"/>
      <c r="N57" s="594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</row>
    <row r="58" spans="1:86" s="104" customFormat="1" ht="19.5">
      <c r="A58" s="93"/>
      <c r="B58" s="587"/>
      <c r="C58" s="584"/>
      <c r="D58" s="587"/>
      <c r="E58" s="584"/>
      <c r="F58" s="582"/>
      <c r="G58" s="584"/>
      <c r="H58" s="582"/>
      <c r="I58" s="584"/>
      <c r="J58" s="582"/>
      <c r="K58" s="584"/>
      <c r="L58" s="582"/>
      <c r="M58" s="584"/>
      <c r="N58" s="594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</row>
    <row r="59" spans="1:86" s="104" customFormat="1" ht="19.5">
      <c r="A59" s="93"/>
      <c r="B59" s="587"/>
      <c r="C59" s="584"/>
      <c r="D59" s="587"/>
      <c r="E59" s="584"/>
      <c r="F59" s="582"/>
      <c r="G59" s="584"/>
      <c r="H59" s="582"/>
      <c r="I59" s="584"/>
      <c r="J59" s="582"/>
      <c r="K59" s="584"/>
      <c r="L59" s="582"/>
      <c r="M59" s="584"/>
      <c r="N59" s="594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</row>
    <row r="60" spans="1:86" s="104" customFormat="1" ht="19.5">
      <c r="A60" s="93"/>
      <c r="B60" s="587"/>
      <c r="C60" s="584"/>
      <c r="D60" s="587"/>
      <c r="E60" s="584"/>
      <c r="F60" s="582"/>
      <c r="G60" s="584"/>
      <c r="H60" s="582"/>
      <c r="I60" s="584"/>
      <c r="J60" s="582"/>
      <c r="K60" s="584"/>
      <c r="L60" s="582"/>
      <c r="M60" s="584"/>
      <c r="N60" s="594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</row>
    <row r="61" spans="1:86" s="104" customFormat="1" ht="19.5">
      <c r="A61" s="93"/>
      <c r="B61" s="587"/>
      <c r="C61" s="584"/>
      <c r="D61" s="587"/>
      <c r="E61" s="584"/>
      <c r="F61" s="582"/>
      <c r="G61" s="584"/>
      <c r="H61" s="582"/>
      <c r="I61" s="584"/>
      <c r="J61" s="582"/>
      <c r="K61" s="584"/>
      <c r="L61" s="582"/>
      <c r="M61" s="584"/>
      <c r="N61" s="594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</row>
    <row r="62" spans="1:86" s="104" customFormat="1" ht="19.5">
      <c r="A62" s="93"/>
      <c r="B62" s="587"/>
      <c r="C62" s="584"/>
      <c r="D62" s="587"/>
      <c r="E62" s="584"/>
      <c r="F62" s="582"/>
      <c r="G62" s="584"/>
      <c r="H62" s="582"/>
      <c r="I62" s="584"/>
      <c r="J62" s="582"/>
      <c r="K62" s="584"/>
      <c r="L62" s="582"/>
      <c r="M62" s="584"/>
      <c r="N62" s="594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</row>
    <row r="63" spans="1:86" s="104" customFormat="1" ht="19.5">
      <c r="A63" s="93"/>
      <c r="B63" s="587"/>
      <c r="C63" s="584"/>
      <c r="D63" s="587"/>
      <c r="E63" s="584"/>
      <c r="F63" s="582"/>
      <c r="G63" s="584"/>
      <c r="H63" s="582"/>
      <c r="I63" s="584"/>
      <c r="J63" s="582"/>
      <c r="K63" s="584"/>
      <c r="L63" s="582"/>
      <c r="M63" s="584"/>
      <c r="N63" s="594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</row>
    <row r="64" spans="1:86" s="104" customFormat="1" ht="19.5">
      <c r="A64" s="93"/>
      <c r="B64" s="587"/>
      <c r="C64" s="584"/>
      <c r="D64" s="587"/>
      <c r="E64" s="584"/>
      <c r="F64" s="582"/>
      <c r="G64" s="584"/>
      <c r="H64" s="582"/>
      <c r="I64" s="584"/>
      <c r="J64" s="582"/>
      <c r="K64" s="584"/>
      <c r="L64" s="582"/>
      <c r="M64" s="584"/>
      <c r="N64" s="59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</row>
    <row r="65" spans="1:86" s="104" customFormat="1" ht="19.5">
      <c r="A65" s="93"/>
      <c r="B65" s="587"/>
      <c r="C65" s="584"/>
      <c r="D65" s="587"/>
      <c r="E65" s="584"/>
      <c r="F65" s="582"/>
      <c r="G65" s="584"/>
      <c r="H65" s="582"/>
      <c r="I65" s="584"/>
      <c r="J65" s="582"/>
      <c r="K65" s="584"/>
      <c r="L65" s="582"/>
      <c r="M65" s="584"/>
      <c r="N65" s="594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</row>
    <row r="66" spans="1:86" s="104" customFormat="1" ht="19.5">
      <c r="A66" s="93"/>
      <c r="B66" s="587"/>
      <c r="C66" s="584"/>
      <c r="D66" s="587"/>
      <c r="E66" s="584"/>
      <c r="F66" s="582"/>
      <c r="G66" s="584"/>
      <c r="H66" s="582"/>
      <c r="I66" s="584"/>
      <c r="J66" s="582"/>
      <c r="K66" s="584"/>
      <c r="L66" s="582"/>
      <c r="M66" s="584"/>
      <c r="N66" s="594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</row>
    <row r="67" spans="1:86" s="104" customFormat="1" ht="19.5">
      <c r="A67" s="93"/>
      <c r="B67" s="587"/>
      <c r="C67" s="584"/>
      <c r="D67" s="587"/>
      <c r="E67" s="584"/>
      <c r="F67" s="582"/>
      <c r="G67" s="584"/>
      <c r="H67" s="582"/>
      <c r="I67" s="584"/>
      <c r="J67" s="582"/>
      <c r="K67" s="584"/>
      <c r="L67" s="582"/>
      <c r="M67" s="584"/>
      <c r="N67" s="594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86" s="104" customFormat="1" ht="19.5">
      <c r="A68" s="673"/>
      <c r="B68" s="673"/>
      <c r="C68" s="207"/>
      <c r="D68" s="593"/>
      <c r="E68" s="207"/>
      <c r="F68" s="585"/>
      <c r="G68" s="204"/>
      <c r="H68" s="585"/>
      <c r="I68" s="204"/>
      <c r="J68" s="585"/>
      <c r="K68" s="204"/>
      <c r="L68" s="585"/>
      <c r="M68" s="204"/>
      <c r="N68" s="594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</row>
    <row r="69" spans="1:86" s="104" customFormat="1" ht="15.75">
      <c r="A69" s="588"/>
      <c r="B69" s="9"/>
      <c r="C69" s="589"/>
      <c r="D69" s="590"/>
      <c r="E69" s="589"/>
      <c r="F69" s="193"/>
      <c r="G69" s="127"/>
      <c r="H69" s="193"/>
      <c r="I69" s="127"/>
      <c r="J69" s="193"/>
      <c r="K69" s="127"/>
      <c r="L69" s="193"/>
      <c r="M69" s="127"/>
      <c r="N69" s="58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</row>
    <row r="70" spans="1:86" s="104" customFormat="1" ht="15.75">
      <c r="A70" s="588"/>
      <c r="B70" s="9"/>
      <c r="C70" s="589"/>
      <c r="D70" s="590"/>
      <c r="E70" s="589"/>
      <c r="F70" s="193"/>
      <c r="G70" s="127"/>
      <c r="H70" s="193"/>
      <c r="I70" s="127"/>
      <c r="J70" s="193"/>
      <c r="K70" s="127"/>
      <c r="L70" s="193"/>
      <c r="M70" s="127"/>
      <c r="N70" s="589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</row>
    <row r="71" spans="1:86" s="104" customFormat="1" ht="15.75">
      <c r="A71" s="591"/>
      <c r="B71" s="9"/>
      <c r="C71" s="592"/>
      <c r="D71" s="590"/>
      <c r="E71" s="592"/>
      <c r="F71" s="193"/>
      <c r="G71" s="128"/>
      <c r="H71" s="193"/>
      <c r="I71" s="128"/>
      <c r="J71" s="193"/>
      <c r="K71" s="128"/>
      <c r="L71" s="193"/>
      <c r="M71" s="128"/>
      <c r="N71" s="592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</row>
    <row r="72" spans="1:86" s="104" customFormat="1" ht="12.75">
      <c r="A72" s="9"/>
      <c r="B72" s="9"/>
      <c r="C72" s="9"/>
      <c r="D72" s="9"/>
      <c r="E72" s="9"/>
      <c r="F72"/>
      <c r="G72"/>
      <c r="H72" s="2"/>
      <c r="I72" s="2"/>
      <c r="J72"/>
      <c r="K72"/>
      <c r="L72"/>
      <c r="M72"/>
      <c r="N72" s="9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</row>
    <row r="73" spans="1:86" s="104" customFormat="1" ht="12.75">
      <c r="A73" s="9"/>
      <c r="B73" s="9"/>
      <c r="C73" s="9"/>
      <c r="D73" s="9"/>
      <c r="E73" s="9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</row>
    <row r="74" spans="1:86" s="104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</row>
    <row r="75" spans="1:86" s="104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</row>
    <row r="76" spans="1:86" s="104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</row>
    <row r="77" spans="1:86" s="104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</row>
    <row r="78" spans="1:86" s="104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</row>
  </sheetData>
  <sheetProtection/>
  <mergeCells count="22">
    <mergeCell ref="A1:N1"/>
    <mergeCell ref="A2:N2"/>
    <mergeCell ref="A5:A7"/>
    <mergeCell ref="B5:M5"/>
    <mergeCell ref="N5:N7"/>
    <mergeCell ref="H41:I41"/>
    <mergeCell ref="J41:K41"/>
    <mergeCell ref="F6:G6"/>
    <mergeCell ref="H6:I6"/>
    <mergeCell ref="L6:M6"/>
    <mergeCell ref="A33:B33"/>
    <mergeCell ref="A40:A42"/>
    <mergeCell ref="L41:M41"/>
    <mergeCell ref="J6:K6"/>
    <mergeCell ref="B6:C6"/>
    <mergeCell ref="D6:E6"/>
    <mergeCell ref="A68:B68"/>
    <mergeCell ref="A3:N3"/>
    <mergeCell ref="N40:N42"/>
    <mergeCell ref="B41:C41"/>
    <mergeCell ref="D41:E41"/>
    <mergeCell ref="F41:G41"/>
  </mergeCells>
  <printOptions horizontalCentered="1"/>
  <pageMargins left="0" right="0" top="0.41" bottom="0.16" header="0.5118110236220472" footer="0.16"/>
  <pageSetup fitToWidth="0" fitToHeight="1" horizontalDpi="1200" verticalDpi="1200" orientation="landscape" paperSize="9" scale="7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N39"/>
  <sheetViews>
    <sheetView view="pageBreakPreview" zoomScale="60" zoomScalePageLayoutView="0" workbookViewId="0" topLeftCell="A1">
      <selection activeCell="E31" sqref="E31"/>
    </sheetView>
  </sheetViews>
  <sheetFormatPr defaultColWidth="9.140625" defaultRowHeight="12.75"/>
  <cols>
    <col min="1" max="1" width="43.7109375" style="104" customWidth="1"/>
    <col min="2" max="2" width="8.28125" style="0" customWidth="1"/>
    <col min="3" max="3" width="13.00390625" style="0" customWidth="1"/>
    <col min="4" max="4" width="26.57421875" style="0" customWidth="1"/>
    <col min="5" max="5" width="43.57421875" style="2" customWidth="1"/>
    <col min="6" max="6" width="16.00390625" style="2" customWidth="1"/>
    <col min="7" max="7" width="23.00390625" style="0" customWidth="1"/>
  </cols>
  <sheetData>
    <row r="1" spans="1:14" ht="54" customHeight="1">
      <c r="A1" s="679" t="s">
        <v>338</v>
      </c>
      <c r="B1" s="679"/>
      <c r="C1" s="679"/>
      <c r="D1" s="679"/>
      <c r="E1" s="679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25.5" customHeight="1">
      <c r="A2" s="680" t="str">
        <f>Дата!B2</f>
        <v>19 июня 2019 год</v>
      </c>
      <c r="B2" s="680"/>
      <c r="C2" s="680"/>
      <c r="D2" s="680"/>
      <c r="E2" s="680"/>
      <c r="F2" s="211"/>
      <c r="G2" s="211"/>
      <c r="H2" s="211"/>
      <c r="I2" s="211"/>
      <c r="J2" s="211"/>
      <c r="K2" s="211"/>
      <c r="L2" s="211"/>
      <c r="M2" s="211"/>
      <c r="N2" s="211"/>
    </row>
    <row r="3" spans="7:8" ht="16.5" customHeight="1" thickBot="1">
      <c r="G3" s="2"/>
      <c r="H3" s="2"/>
    </row>
    <row r="4" spans="1:8" ht="0.75" customHeight="1">
      <c r="A4" s="142"/>
      <c r="B4" s="693" t="s">
        <v>22</v>
      </c>
      <c r="C4" s="696" t="s">
        <v>353</v>
      </c>
      <c r="D4" s="697"/>
      <c r="E4" s="102"/>
      <c r="F4" s="102"/>
      <c r="G4" s="2"/>
      <c r="H4" s="2"/>
    </row>
    <row r="5" spans="1:8" ht="36.75" customHeight="1">
      <c r="A5" s="142"/>
      <c r="B5" s="694"/>
      <c r="C5" s="698"/>
      <c r="D5" s="699"/>
      <c r="E5" s="49"/>
      <c r="F5" s="49"/>
      <c r="G5" s="2"/>
      <c r="H5" s="2"/>
    </row>
    <row r="6" spans="1:8" ht="51.75" customHeight="1" thickBot="1">
      <c r="A6" s="115"/>
      <c r="B6" s="695"/>
      <c r="C6" s="700"/>
      <c r="D6" s="701"/>
      <c r="E6" s="49"/>
      <c r="F6" s="49"/>
      <c r="G6" s="2"/>
      <c r="H6" s="2"/>
    </row>
    <row r="7" spans="1:8" ht="19.5" customHeight="1">
      <c r="A7" s="115"/>
      <c r="B7" s="37">
        <v>2</v>
      </c>
      <c r="C7" s="702"/>
      <c r="D7" s="703"/>
      <c r="E7" s="93"/>
      <c r="F7" s="93"/>
      <c r="G7" s="2"/>
      <c r="H7" s="2"/>
    </row>
    <row r="8" spans="1:8" ht="19.5" customHeight="1">
      <c r="A8" s="115"/>
      <c r="B8" s="42">
        <v>3</v>
      </c>
      <c r="C8" s="689">
        <f>КарНУМН!H9+'НПС Остров НУМН'!G9+'Сент НУМН'!N9+'Сивыс-Ях НУМН '!G9</f>
        <v>719</v>
      </c>
      <c r="D8" s="690"/>
      <c r="E8" s="93"/>
      <c r="F8" s="93"/>
      <c r="G8" s="2"/>
      <c r="H8" s="160"/>
    </row>
    <row r="9" spans="1:8" ht="19.5" customHeight="1">
      <c r="A9" s="115"/>
      <c r="B9" s="42">
        <v>4</v>
      </c>
      <c r="C9" s="689">
        <f>КарНУМН!H10+'НПС Остров НУМН'!G10+'Сент НУМН'!N10+'Сивыс-Ях НУМН '!G10</f>
        <v>709</v>
      </c>
      <c r="D9" s="690"/>
      <c r="E9" s="93"/>
      <c r="F9" s="93"/>
      <c r="G9" s="2"/>
      <c r="H9" s="160"/>
    </row>
    <row r="10" spans="1:8" ht="19.5" customHeight="1">
      <c r="A10" s="115"/>
      <c r="B10" s="42">
        <v>5</v>
      </c>
      <c r="C10" s="689">
        <f>КарНУМН!H11+'НПС Остров НУМН'!G11+'Сент НУМН'!N11+'Сивыс-Ях НУМН '!G11</f>
        <v>709</v>
      </c>
      <c r="D10" s="690"/>
      <c r="E10" s="93"/>
      <c r="F10" s="93"/>
      <c r="G10" s="2"/>
      <c r="H10" s="160"/>
    </row>
    <row r="11" spans="1:8" ht="19.5" customHeight="1">
      <c r="A11" s="115"/>
      <c r="B11" s="42">
        <v>6</v>
      </c>
      <c r="C11" s="689">
        <f>КарНУМН!H12+'НПС Остров НУМН'!G12+'Сент НУМН'!N12+'Сивыс-Ях НУМН '!G12</f>
        <v>746</v>
      </c>
      <c r="D11" s="690"/>
      <c r="E11" s="93"/>
      <c r="F11" s="93"/>
      <c r="G11" s="2"/>
      <c r="H11" s="160"/>
    </row>
    <row r="12" spans="1:8" ht="19.5" customHeight="1">
      <c r="A12" s="115"/>
      <c r="B12" s="42">
        <v>7</v>
      </c>
      <c r="C12" s="689">
        <f>КарНУМН!H13+'НПС Остров НУМН'!G13+'Сент НУМН'!N13+'Сивыс-Ях НУМН '!G13</f>
        <v>871</v>
      </c>
      <c r="D12" s="690"/>
      <c r="E12" s="93"/>
      <c r="F12" s="93"/>
      <c r="G12" s="2"/>
      <c r="H12" s="160"/>
    </row>
    <row r="13" spans="1:8" ht="19.5" customHeight="1">
      <c r="A13" s="115"/>
      <c r="B13" s="42">
        <v>8</v>
      </c>
      <c r="C13" s="689">
        <f>КарНУМН!H14+'НПС Остров НУМН'!G14+'Сент НУМН'!N14+'Сивыс-Ях НУМН '!G14</f>
        <v>997</v>
      </c>
      <c r="D13" s="690"/>
      <c r="E13" s="93"/>
      <c r="F13" s="93"/>
      <c r="G13" s="2"/>
      <c r="H13" s="160"/>
    </row>
    <row r="14" spans="1:8" ht="19.5" customHeight="1">
      <c r="A14" s="115"/>
      <c r="B14" s="42">
        <v>9</v>
      </c>
      <c r="C14" s="689">
        <f>КарНУМН!H15+'НПС Остров НУМН'!G15+'Сент НУМН'!N15+'Сивыс-Ях НУМН '!G15</f>
        <v>997</v>
      </c>
      <c r="D14" s="690"/>
      <c r="E14" s="93"/>
      <c r="F14" s="93"/>
      <c r="G14" s="2"/>
      <c r="H14" s="160"/>
    </row>
    <row r="15" spans="1:8" ht="19.5" customHeight="1">
      <c r="A15" s="115"/>
      <c r="B15" s="42">
        <v>10</v>
      </c>
      <c r="C15" s="689">
        <f>КарНУМН!H16+'НПС Остров НУМН'!G16+'Сент НУМН'!N16+'Сивыс-Ях НУМН '!G16</f>
        <v>1000</v>
      </c>
      <c r="D15" s="690"/>
      <c r="E15" s="93"/>
      <c r="F15" s="93"/>
      <c r="G15" s="2"/>
      <c r="H15" s="160"/>
    </row>
    <row r="16" spans="1:8" ht="19.5" customHeight="1">
      <c r="A16" s="115"/>
      <c r="B16" s="42">
        <v>11</v>
      </c>
      <c r="C16" s="689">
        <f>КарНУМН!H17+'НПС Остров НУМН'!G17+'Сент НУМН'!N17+'Сивыс-Ях НУМН '!G17</f>
        <v>971</v>
      </c>
      <c r="D16" s="690"/>
      <c r="E16" s="93"/>
      <c r="F16" s="93"/>
      <c r="G16" s="2"/>
      <c r="H16" s="160"/>
    </row>
    <row r="17" spans="1:8" ht="19.5" customHeight="1">
      <c r="A17" s="115"/>
      <c r="B17" s="42">
        <v>12</v>
      </c>
      <c r="C17" s="689">
        <f>КарНУМН!H18+'НПС Остров НУМН'!G18+'Сент НУМН'!N18+'Сивыс-Ях НУМН '!G18</f>
        <v>956</v>
      </c>
      <c r="D17" s="690"/>
      <c r="E17" s="93"/>
      <c r="F17" s="93"/>
      <c r="G17" s="2"/>
      <c r="H17" s="160"/>
    </row>
    <row r="18" spans="1:8" ht="19.5" customHeight="1">
      <c r="A18" s="115"/>
      <c r="B18" s="42">
        <v>13</v>
      </c>
      <c r="C18" s="689">
        <f>КарНУМН!H19+'НПС Остров НУМН'!G19+'Сент НУМН'!N19+'Сивыс-Ях НУМН '!G19</f>
        <v>974</v>
      </c>
      <c r="D18" s="690"/>
      <c r="E18" s="93"/>
      <c r="F18" s="93"/>
      <c r="G18" s="2"/>
      <c r="H18" s="160"/>
    </row>
    <row r="19" spans="1:8" ht="19.5" customHeight="1">
      <c r="A19" s="115"/>
      <c r="B19" s="42">
        <v>14</v>
      </c>
      <c r="C19" s="689">
        <f>КарНУМН!H20+'НПС Остров НУМН'!G20+'Сент НУМН'!N20+'Сивыс-Ях НУМН '!G20</f>
        <v>946</v>
      </c>
      <c r="D19" s="690"/>
      <c r="E19" s="93"/>
      <c r="F19" s="93"/>
      <c r="G19" s="2"/>
      <c r="H19" s="160"/>
    </row>
    <row r="20" spans="1:8" ht="19.5" customHeight="1">
      <c r="A20" s="115"/>
      <c r="B20" s="42">
        <v>15</v>
      </c>
      <c r="C20" s="689">
        <f>КарНУМН!H21+'НПС Остров НУМН'!G21+'Сент НУМН'!N21+'Сивыс-Ях НУМН '!G21</f>
        <v>871</v>
      </c>
      <c r="D20" s="690"/>
      <c r="E20" s="93"/>
      <c r="F20" s="93"/>
      <c r="G20" s="2"/>
      <c r="H20" s="160"/>
    </row>
    <row r="21" spans="1:8" ht="19.5" customHeight="1">
      <c r="A21" s="115"/>
      <c r="B21" s="42">
        <v>16</v>
      </c>
      <c r="C21" s="689">
        <f>КарНУМН!H22+'НПС Остров НУМН'!G22+'Сент НУМН'!N22+'Сивыс-Ях НУМН '!G22</f>
        <v>881</v>
      </c>
      <c r="D21" s="690"/>
      <c r="E21" s="93"/>
      <c r="F21" s="93"/>
      <c r="G21" s="2"/>
      <c r="H21" s="160"/>
    </row>
    <row r="22" spans="1:8" ht="19.5" customHeight="1">
      <c r="A22" s="115"/>
      <c r="B22" s="42">
        <v>17</v>
      </c>
      <c r="C22" s="689">
        <f>КарНУМН!H23+'НПС Остров НУМН'!G23+'Сент НУМН'!N23+'Сивыс-Ях НУМН '!G23</f>
        <v>850</v>
      </c>
      <c r="D22" s="690"/>
      <c r="E22" s="93"/>
      <c r="F22" s="93"/>
      <c r="G22" s="2"/>
      <c r="H22" s="160"/>
    </row>
    <row r="23" spans="1:8" ht="19.5" customHeight="1">
      <c r="A23" s="115"/>
      <c r="B23" s="42">
        <v>18</v>
      </c>
      <c r="C23" s="689">
        <f>КарНУМН!H24+'НПС Остров НУМН'!G24+'Сент НУМН'!N24+'Сивыс-Ях НУМН '!G24</f>
        <v>880</v>
      </c>
      <c r="D23" s="690"/>
      <c r="E23" s="93"/>
      <c r="F23" s="93"/>
      <c r="G23" s="2"/>
      <c r="H23" s="160"/>
    </row>
    <row r="24" spans="1:8" ht="19.5" customHeight="1">
      <c r="A24" s="115"/>
      <c r="B24" s="42">
        <v>19</v>
      </c>
      <c r="C24" s="689">
        <f>КарНУМН!H25+'НПС Остров НУМН'!G25+'Сент НУМН'!N25+'Сивыс-Ях НУМН '!G25</f>
        <v>941</v>
      </c>
      <c r="D24" s="690"/>
      <c r="E24" s="93"/>
      <c r="F24" s="93"/>
      <c r="G24" s="2"/>
      <c r="H24" s="160"/>
    </row>
    <row r="25" spans="1:8" ht="19.5" customHeight="1">
      <c r="A25" s="115"/>
      <c r="B25" s="42">
        <v>20</v>
      </c>
      <c r="C25" s="689">
        <f>КарНУМН!H26+'НПС Остров НУМН'!G26+'Сент НУМН'!N26+'Сивыс-Ях НУМН '!G26</f>
        <v>941</v>
      </c>
      <c r="D25" s="690"/>
      <c r="E25" s="93"/>
      <c r="F25" s="93"/>
      <c r="G25" s="2"/>
      <c r="H25" s="160"/>
    </row>
    <row r="26" spans="1:8" ht="19.5" customHeight="1">
      <c r="A26" s="115"/>
      <c r="B26" s="42">
        <v>21</v>
      </c>
      <c r="C26" s="689">
        <f>КарНУМН!H27+'НПС Остров НУМН'!G27+'Сент НУМН'!N27+'Сивыс-Ях НУМН '!G27</f>
        <v>1020</v>
      </c>
      <c r="D26" s="690"/>
      <c r="E26" s="93"/>
      <c r="F26" s="93"/>
      <c r="G26" s="2"/>
      <c r="H26" s="160"/>
    </row>
    <row r="27" spans="1:8" ht="19.5" customHeight="1">
      <c r="A27" s="115"/>
      <c r="B27" s="42">
        <v>22</v>
      </c>
      <c r="C27" s="689">
        <f>КарНУМН!H28+'НПС Остров НУМН'!G28+'Сент НУМН'!N28+'Сивыс-Ях НУМН '!G28</f>
        <v>1072</v>
      </c>
      <c r="D27" s="690"/>
      <c r="E27" s="93"/>
      <c r="F27" s="93"/>
      <c r="G27" s="2"/>
      <c r="H27" s="160"/>
    </row>
    <row r="28" spans="1:8" ht="19.5" customHeight="1">
      <c r="A28" s="115"/>
      <c r="B28" s="42">
        <v>23</v>
      </c>
      <c r="C28" s="689">
        <f>КарНУМН!H29+'НПС Остров НУМН'!G29+'Сент НУМН'!N29+'Сивыс-Ях НУМН '!G29</f>
        <v>1020</v>
      </c>
      <c r="D28" s="690"/>
      <c r="E28" s="93"/>
      <c r="F28" s="93"/>
      <c r="G28" s="2"/>
      <c r="H28" s="160"/>
    </row>
    <row r="29" spans="1:8" ht="19.5" customHeight="1">
      <c r="A29" s="115"/>
      <c r="B29" s="42">
        <v>24</v>
      </c>
      <c r="C29" s="689">
        <f>КарНУМН!H30+'НПС Остров НУМН'!G30+'Сент НУМН'!N30+'Сивыс-Ях НУМН '!G30</f>
        <v>944</v>
      </c>
      <c r="D29" s="690"/>
      <c r="E29" s="93"/>
      <c r="F29" s="93"/>
      <c r="G29" s="2"/>
      <c r="H29" s="160"/>
    </row>
    <row r="30" spans="1:8" ht="19.5" customHeight="1">
      <c r="A30" s="115"/>
      <c r="B30" s="42">
        <v>1</v>
      </c>
      <c r="C30" s="689">
        <f>КарНУМН!H31+'НПС Остров НУМН'!G31+'Сент НУМН'!N31+'Сивыс-Ях НУМН '!G31</f>
        <v>843</v>
      </c>
      <c r="D30" s="690"/>
      <c r="E30" s="93"/>
      <c r="F30" s="93"/>
      <c r="G30" s="2"/>
      <c r="H30" s="160"/>
    </row>
    <row r="31" spans="1:8" ht="19.5" customHeight="1" thickBot="1">
      <c r="A31" s="115"/>
      <c r="B31" s="214">
        <v>2</v>
      </c>
      <c r="C31" s="689">
        <f>КарНУМН!H32+'НПС Остров НУМН'!G32+'Сент НУМН'!N32+'Сивыс-Ях НУМН '!G32</f>
        <v>783</v>
      </c>
      <c r="D31" s="690"/>
      <c r="E31" s="93"/>
      <c r="F31" s="93"/>
      <c r="G31" s="2"/>
      <c r="H31" s="160"/>
    </row>
    <row r="32" spans="1:8" ht="20.25" thickBot="1">
      <c r="A32" s="209"/>
      <c r="B32" s="595"/>
      <c r="C32" s="691">
        <f>SUM(C8:D31)</f>
        <v>21641</v>
      </c>
      <c r="D32" s="692"/>
      <c r="E32" s="82"/>
      <c r="F32" s="82"/>
      <c r="G32" s="2"/>
      <c r="H32" s="2"/>
    </row>
    <row r="33" spans="2:4" ht="24.75" customHeight="1">
      <c r="B33" s="108" t="s">
        <v>50</v>
      </c>
      <c r="C33" s="2"/>
      <c r="D33" s="216">
        <f>SUM(C8:D31)/24</f>
        <v>901.7083333333334</v>
      </c>
    </row>
    <row r="34" spans="1:4" s="2" customFormat="1" ht="15.75">
      <c r="A34" s="138"/>
      <c r="B34" s="108" t="s">
        <v>51</v>
      </c>
      <c r="D34" s="216">
        <f>MAX(C8:D31)</f>
        <v>1072</v>
      </c>
    </row>
    <row r="35" spans="1:4" s="2" customFormat="1" ht="15.75">
      <c r="A35" s="138"/>
      <c r="B35" s="110" t="s">
        <v>54</v>
      </c>
      <c r="D35" s="217">
        <f>D33/D34</f>
        <v>0.8411458333333334</v>
      </c>
    </row>
    <row r="36" ht="12.75"/>
    <row r="37" ht="12.75"/>
    <row r="38" spans="1:2" ht="12.75">
      <c r="A38" s="138"/>
      <c r="B38" s="2"/>
    </row>
    <row r="39" spans="1:2" ht="12.75">
      <c r="A39" s="138"/>
      <c r="B39" s="2"/>
    </row>
  </sheetData>
  <sheetProtection/>
  <mergeCells count="30">
    <mergeCell ref="A1:E1"/>
    <mergeCell ref="A2:E2"/>
    <mergeCell ref="B4:B6"/>
    <mergeCell ref="C4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rintOptions horizontalCentered="1"/>
  <pageMargins left="0" right="0" top="0.41" bottom="0.16" header="0.5118110236220472" footer="0.16"/>
  <pageSetup fitToHeight="1" fitToWidth="1" horizontalDpi="1200" verticalDpi="1200" orientation="portrait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9"/>
  <sheetViews>
    <sheetView view="pageBreakPreview" zoomScale="77" zoomScaleSheetLayoutView="77" zoomScalePageLayoutView="0" workbookViewId="0" topLeftCell="A1">
      <selection activeCell="G25" sqref="G25"/>
    </sheetView>
  </sheetViews>
  <sheetFormatPr defaultColWidth="9.140625" defaultRowHeight="12.75"/>
  <cols>
    <col min="1" max="1" width="13.7109375" style="0" customWidth="1"/>
    <col min="2" max="2" width="23.8515625" style="0" customWidth="1"/>
    <col min="3" max="4" width="24.00390625" style="0" customWidth="1"/>
    <col min="5" max="5" width="25.7109375" style="0" customWidth="1"/>
    <col min="6" max="7" width="9.7109375" style="0" customWidth="1"/>
  </cols>
  <sheetData>
    <row r="1" spans="1:7" ht="15.75" customHeight="1">
      <c r="A1" s="655" t="s">
        <v>316</v>
      </c>
      <c r="B1" s="655"/>
      <c r="C1" s="655"/>
      <c r="D1" s="655"/>
      <c r="E1" s="655"/>
      <c r="F1" s="95"/>
      <c r="G1" s="95"/>
    </row>
    <row r="2" spans="1:7" ht="15.75">
      <c r="A2" s="655"/>
      <c r="B2" s="655"/>
      <c r="C2" s="655"/>
      <c r="D2" s="655"/>
      <c r="E2" s="655"/>
      <c r="F2" s="95"/>
      <c r="G2" s="95"/>
    </row>
    <row r="3" spans="1:7" ht="21.75" customHeight="1">
      <c r="A3" s="655" t="str">
        <f>Дата!B2</f>
        <v>19 июня 2019 год</v>
      </c>
      <c r="B3" s="655"/>
      <c r="C3" s="655"/>
      <c r="D3" s="655"/>
      <c r="E3" s="655"/>
      <c r="F3" s="95"/>
      <c r="G3" s="95"/>
    </row>
    <row r="4" spans="1:7" ht="21.75" customHeight="1">
      <c r="A4" s="661" t="s">
        <v>318</v>
      </c>
      <c r="B4" s="661"/>
      <c r="C4" s="661"/>
      <c r="D4" s="661"/>
      <c r="E4" s="661"/>
      <c r="F4" s="95"/>
      <c r="G4" s="95"/>
    </row>
    <row r="5" ht="13.5" customHeight="1" thickBot="1"/>
    <row r="6" spans="1:5" ht="40.5" customHeight="1" thickBot="1">
      <c r="A6" s="664" t="s">
        <v>22</v>
      </c>
      <c r="B6" s="623" t="s">
        <v>302</v>
      </c>
      <c r="C6" s="623" t="s">
        <v>303</v>
      </c>
      <c r="D6" s="623" t="s">
        <v>304</v>
      </c>
      <c r="E6" s="658" t="s">
        <v>213</v>
      </c>
    </row>
    <row r="7" spans="1:15" ht="34.5" customHeight="1" thickBot="1">
      <c r="A7" s="665"/>
      <c r="B7" s="272" t="s">
        <v>306</v>
      </c>
      <c r="C7" s="272" t="s">
        <v>305</v>
      </c>
      <c r="D7" s="272" t="s">
        <v>46</v>
      </c>
      <c r="E7" s="659"/>
      <c r="K7" s="622" t="s">
        <v>296</v>
      </c>
      <c r="L7" s="621" t="s">
        <v>297</v>
      </c>
      <c r="M7" s="622" t="s">
        <v>298</v>
      </c>
      <c r="N7" s="621" t="s">
        <v>299</v>
      </c>
      <c r="O7" s="621" t="s">
        <v>300</v>
      </c>
    </row>
    <row r="8" spans="1:5" ht="19.5" customHeight="1">
      <c r="A8" s="37">
        <v>2</v>
      </c>
      <c r="B8" s="64"/>
      <c r="C8" s="64"/>
      <c r="D8" s="64"/>
      <c r="E8" s="64"/>
    </row>
    <row r="9" spans="1:5" ht="19.5" customHeight="1">
      <c r="A9" s="42">
        <v>3</v>
      </c>
      <c r="B9" s="567">
        <v>234</v>
      </c>
      <c r="C9" s="567">
        <v>72</v>
      </c>
      <c r="D9" s="567">
        <v>20</v>
      </c>
      <c r="E9" s="567">
        <f aca="true" t="shared" si="0" ref="E9:E32">B9+C9+D9</f>
        <v>326</v>
      </c>
    </row>
    <row r="10" spans="1:5" ht="19.5" customHeight="1">
      <c r="A10" s="70">
        <v>4</v>
      </c>
      <c r="B10" s="567">
        <v>223</v>
      </c>
      <c r="C10" s="567">
        <v>70</v>
      </c>
      <c r="D10" s="567">
        <v>17</v>
      </c>
      <c r="E10" s="567">
        <f t="shared" si="0"/>
        <v>310</v>
      </c>
    </row>
    <row r="11" spans="1:5" ht="19.5" customHeight="1">
      <c r="A11" s="70">
        <v>5</v>
      </c>
      <c r="B11" s="567">
        <v>228</v>
      </c>
      <c r="C11" s="567">
        <v>69</v>
      </c>
      <c r="D11" s="567">
        <v>19</v>
      </c>
      <c r="E11" s="567">
        <f t="shared" si="0"/>
        <v>316</v>
      </c>
    </row>
    <row r="12" spans="1:5" ht="19.5" customHeight="1">
      <c r="A12" s="70">
        <v>6</v>
      </c>
      <c r="B12" s="567">
        <v>245</v>
      </c>
      <c r="C12" s="567">
        <v>67</v>
      </c>
      <c r="D12" s="567">
        <v>21</v>
      </c>
      <c r="E12" s="567">
        <f t="shared" si="0"/>
        <v>333</v>
      </c>
    </row>
    <row r="13" spans="1:5" ht="19.5" customHeight="1">
      <c r="A13" s="70">
        <v>7</v>
      </c>
      <c r="B13" s="567">
        <v>291</v>
      </c>
      <c r="C13" s="567">
        <v>89</v>
      </c>
      <c r="D13" s="567">
        <v>19</v>
      </c>
      <c r="E13" s="567">
        <f t="shared" si="0"/>
        <v>399</v>
      </c>
    </row>
    <row r="14" spans="1:5" ht="19.5" customHeight="1">
      <c r="A14" s="70">
        <v>8</v>
      </c>
      <c r="B14" s="567">
        <v>303</v>
      </c>
      <c r="C14" s="567">
        <v>103</v>
      </c>
      <c r="D14" s="567">
        <v>40</v>
      </c>
      <c r="E14" s="567">
        <f t="shared" si="0"/>
        <v>446</v>
      </c>
    </row>
    <row r="15" spans="1:5" ht="19.5" customHeight="1">
      <c r="A15" s="70">
        <v>9</v>
      </c>
      <c r="B15" s="567">
        <v>296</v>
      </c>
      <c r="C15" s="567">
        <v>104</v>
      </c>
      <c r="D15" s="567">
        <v>49</v>
      </c>
      <c r="E15" s="567">
        <f t="shared" si="0"/>
        <v>449</v>
      </c>
    </row>
    <row r="16" spans="1:5" ht="19.5" customHeight="1">
      <c r="A16" s="70">
        <v>10</v>
      </c>
      <c r="B16" s="567">
        <v>296</v>
      </c>
      <c r="C16" s="567">
        <v>97</v>
      </c>
      <c r="D16" s="567">
        <v>46</v>
      </c>
      <c r="E16" s="567">
        <f t="shared" si="0"/>
        <v>439</v>
      </c>
    </row>
    <row r="17" spans="1:5" ht="19.5" customHeight="1">
      <c r="A17" s="70">
        <v>11</v>
      </c>
      <c r="B17" s="567">
        <v>319</v>
      </c>
      <c r="C17" s="567">
        <v>87</v>
      </c>
      <c r="D17" s="567">
        <v>45</v>
      </c>
      <c r="E17" s="567">
        <f t="shared" si="0"/>
        <v>451</v>
      </c>
    </row>
    <row r="18" spans="1:5" ht="19.5" customHeight="1">
      <c r="A18" s="70">
        <v>12</v>
      </c>
      <c r="B18" s="567">
        <v>327</v>
      </c>
      <c r="C18" s="567">
        <v>92</v>
      </c>
      <c r="D18" s="567">
        <v>40</v>
      </c>
      <c r="E18" s="567">
        <f t="shared" si="0"/>
        <v>459</v>
      </c>
    </row>
    <row r="19" spans="1:5" ht="19.5" customHeight="1">
      <c r="A19" s="70">
        <v>13</v>
      </c>
      <c r="B19" s="567">
        <v>339</v>
      </c>
      <c r="C19" s="567">
        <v>99</v>
      </c>
      <c r="D19" s="567">
        <v>40</v>
      </c>
      <c r="E19" s="567">
        <f t="shared" si="0"/>
        <v>478</v>
      </c>
    </row>
    <row r="20" spans="1:5" ht="19.5" customHeight="1">
      <c r="A20" s="70">
        <v>14</v>
      </c>
      <c r="B20" s="567">
        <v>321</v>
      </c>
      <c r="C20" s="567">
        <v>101</v>
      </c>
      <c r="D20" s="567">
        <v>35</v>
      </c>
      <c r="E20" s="567">
        <f t="shared" si="0"/>
        <v>457</v>
      </c>
    </row>
    <row r="21" spans="1:5" ht="19.5" customHeight="1">
      <c r="A21" s="70">
        <v>15</v>
      </c>
      <c r="B21" s="567">
        <v>294</v>
      </c>
      <c r="C21" s="567">
        <v>95</v>
      </c>
      <c r="D21" s="567">
        <v>34</v>
      </c>
      <c r="E21" s="567">
        <f t="shared" si="0"/>
        <v>423</v>
      </c>
    </row>
    <row r="22" spans="1:5" ht="19.5" customHeight="1">
      <c r="A22" s="70">
        <v>16</v>
      </c>
      <c r="B22" s="567">
        <v>293</v>
      </c>
      <c r="C22" s="567">
        <v>83</v>
      </c>
      <c r="D22" s="567">
        <v>34</v>
      </c>
      <c r="E22" s="567">
        <f t="shared" si="0"/>
        <v>410</v>
      </c>
    </row>
    <row r="23" spans="1:5" ht="19.5" customHeight="1">
      <c r="A23" s="70">
        <v>17</v>
      </c>
      <c r="B23" s="567">
        <v>285</v>
      </c>
      <c r="C23" s="567">
        <v>81</v>
      </c>
      <c r="D23" s="567">
        <v>32</v>
      </c>
      <c r="E23" s="567">
        <f t="shared" si="0"/>
        <v>398</v>
      </c>
    </row>
    <row r="24" spans="1:5" ht="19.5" customHeight="1">
      <c r="A24" s="70">
        <v>18</v>
      </c>
      <c r="B24" s="567">
        <v>288</v>
      </c>
      <c r="C24" s="567">
        <v>84</v>
      </c>
      <c r="D24" s="567">
        <v>35</v>
      </c>
      <c r="E24" s="567">
        <f t="shared" si="0"/>
        <v>407</v>
      </c>
    </row>
    <row r="25" spans="1:5" ht="19.5" customHeight="1">
      <c r="A25" s="70">
        <v>19</v>
      </c>
      <c r="B25" s="567">
        <v>298</v>
      </c>
      <c r="C25" s="567">
        <v>93</v>
      </c>
      <c r="D25" s="567">
        <v>31</v>
      </c>
      <c r="E25" s="567">
        <f t="shared" si="0"/>
        <v>422</v>
      </c>
    </row>
    <row r="26" spans="1:5" ht="19.5" customHeight="1">
      <c r="A26" s="70">
        <v>20</v>
      </c>
      <c r="B26" s="567">
        <v>312</v>
      </c>
      <c r="C26" s="567">
        <v>108</v>
      </c>
      <c r="D26" s="567">
        <v>23</v>
      </c>
      <c r="E26" s="567">
        <f t="shared" si="0"/>
        <v>443</v>
      </c>
    </row>
    <row r="27" spans="1:5" ht="19.5" customHeight="1">
      <c r="A27" s="70">
        <v>21</v>
      </c>
      <c r="B27" s="567">
        <v>337</v>
      </c>
      <c r="C27" s="567">
        <v>103</v>
      </c>
      <c r="D27" s="567">
        <v>27</v>
      </c>
      <c r="E27" s="567">
        <f t="shared" si="0"/>
        <v>467</v>
      </c>
    </row>
    <row r="28" spans="1:5" ht="19.5" customHeight="1">
      <c r="A28" s="70">
        <v>22</v>
      </c>
      <c r="B28" s="567">
        <v>369</v>
      </c>
      <c r="C28" s="567">
        <v>111</v>
      </c>
      <c r="D28" s="567">
        <v>28</v>
      </c>
      <c r="E28" s="567">
        <f t="shared" si="0"/>
        <v>508</v>
      </c>
    </row>
    <row r="29" spans="1:5" ht="19.5" customHeight="1">
      <c r="A29" s="70">
        <v>23</v>
      </c>
      <c r="B29" s="567">
        <v>385</v>
      </c>
      <c r="C29" s="567">
        <v>109</v>
      </c>
      <c r="D29" s="567">
        <v>24</v>
      </c>
      <c r="E29" s="567">
        <f t="shared" si="0"/>
        <v>518</v>
      </c>
    </row>
    <row r="30" spans="1:5" ht="19.5" customHeight="1">
      <c r="A30" s="70">
        <v>24</v>
      </c>
      <c r="B30" s="567">
        <v>347</v>
      </c>
      <c r="C30" s="567">
        <v>96</v>
      </c>
      <c r="D30" s="567">
        <v>27</v>
      </c>
      <c r="E30" s="567">
        <f t="shared" si="0"/>
        <v>470</v>
      </c>
    </row>
    <row r="31" spans="1:5" ht="19.5" customHeight="1">
      <c r="A31" s="70">
        <v>1</v>
      </c>
      <c r="B31" s="567">
        <v>292</v>
      </c>
      <c r="C31" s="567">
        <v>81</v>
      </c>
      <c r="D31" s="567">
        <v>25</v>
      </c>
      <c r="E31" s="567">
        <f t="shared" si="0"/>
        <v>398</v>
      </c>
    </row>
    <row r="32" spans="1:5" ht="19.5" customHeight="1" thickBot="1">
      <c r="A32" s="72">
        <v>2</v>
      </c>
      <c r="B32" s="570">
        <v>267</v>
      </c>
      <c r="C32" s="570">
        <v>72</v>
      </c>
      <c r="D32" s="570">
        <v>24</v>
      </c>
      <c r="E32" s="567">
        <f t="shared" si="0"/>
        <v>363</v>
      </c>
    </row>
    <row r="33" spans="1:5" ht="24" customHeight="1" thickBot="1">
      <c r="A33" s="618" t="s">
        <v>61</v>
      </c>
      <c r="B33" s="203">
        <f>SUM(B9:B32)</f>
        <v>7189</v>
      </c>
      <c r="C33" s="203">
        <f>SUM(C9:C32)</f>
        <v>2166</v>
      </c>
      <c r="D33" s="203">
        <f>SUM(D9:D32)</f>
        <v>735</v>
      </c>
      <c r="E33" s="203">
        <f>SUM(E9:E32)</f>
        <v>10090</v>
      </c>
    </row>
    <row r="34" spans="1:5" ht="15.75">
      <c r="A34" s="1"/>
      <c r="B34" s="83"/>
      <c r="C34" s="83"/>
      <c r="D34" s="83"/>
      <c r="E34" s="83"/>
    </row>
    <row r="35" spans="2:5" ht="15.75">
      <c r="B35" s="144"/>
      <c r="C35" s="144"/>
      <c r="D35" s="111" t="s">
        <v>66</v>
      </c>
      <c r="E35" s="83">
        <f>SUM(E9:E32)/24</f>
        <v>420.4166666666667</v>
      </c>
    </row>
    <row r="36" spans="2:5" ht="15.75">
      <c r="B36" s="144"/>
      <c r="C36" s="144"/>
      <c r="D36" s="111" t="s">
        <v>67</v>
      </c>
      <c r="E36" s="83">
        <f>MAX(E9:E32)</f>
        <v>518</v>
      </c>
    </row>
    <row r="37" spans="2:5" ht="15.75">
      <c r="B37" s="144"/>
      <c r="C37" s="144"/>
      <c r="D37" s="547" t="s">
        <v>54</v>
      </c>
      <c r="E37" s="566">
        <f>E35/E36</f>
        <v>0.8116151866151866</v>
      </c>
    </row>
    <row r="38" spans="1:5" ht="15.75">
      <c r="A38" s="108"/>
      <c r="D38" s="111"/>
      <c r="E38" s="111"/>
    </row>
    <row r="40" spans="2:5" ht="12.75">
      <c r="B40" s="573" t="s">
        <v>290</v>
      </c>
      <c r="D40" s="99"/>
      <c r="E40" s="101" t="s">
        <v>291</v>
      </c>
    </row>
    <row r="41" spans="1:5" ht="15.75">
      <c r="A41" s="108"/>
      <c r="D41" s="111"/>
      <c r="E41" s="111"/>
    </row>
    <row r="42" spans="1:5" ht="15.75">
      <c r="A42" s="110"/>
      <c r="D42" s="547"/>
      <c r="E42" s="113"/>
    </row>
    <row r="49" ht="12.75">
      <c r="A49" s="546" t="s">
        <v>319</v>
      </c>
    </row>
  </sheetData>
  <sheetProtection/>
  <mergeCells count="5">
    <mergeCell ref="A1:E2"/>
    <mergeCell ref="A3:E3"/>
    <mergeCell ref="A6:A7"/>
    <mergeCell ref="E6:E7"/>
    <mergeCell ref="A4:E4"/>
  </mergeCells>
  <printOptions horizontalCentered="1"/>
  <pageMargins left="0" right="0" top="0.63" bottom="0" header="0.5118110236220472" footer="0.5118110236220472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H41"/>
  <sheetViews>
    <sheetView view="pageBreakPreview" zoomScale="85" zoomScaleSheetLayoutView="85" zoomScalePageLayoutView="0" workbookViewId="0" topLeftCell="A1">
      <selection activeCell="G25" sqref="G25"/>
    </sheetView>
  </sheetViews>
  <sheetFormatPr defaultColWidth="9.140625" defaultRowHeight="12.75"/>
  <cols>
    <col min="1" max="1" width="7.57421875" style="0" customWidth="1"/>
    <col min="2" max="2" width="13.140625" style="0" customWidth="1"/>
    <col min="3" max="3" width="25.57421875" style="0" customWidth="1"/>
    <col min="4" max="4" width="13.7109375" style="0" customWidth="1"/>
    <col min="5" max="5" width="27.8515625" style="0" customWidth="1"/>
    <col min="11" max="11" width="16.7109375" style="0" bestFit="1" customWidth="1"/>
  </cols>
  <sheetData>
    <row r="2" spans="1:6" ht="38.25" customHeight="1">
      <c r="A2" s="704" t="str">
        <f>'У-Ю, Ю  Обь РН-ЮНГ'!A1</f>
        <v>Ведомость контрольных замеров электрических нагрузок в сетях филиала АО "Горэлектросеть" "ПЭС", присоединенных к сетям ООО "РН-Юганскнефтегаз",</v>
      </c>
      <c r="B2" s="704"/>
      <c r="C2" s="704"/>
      <c r="D2" s="704"/>
      <c r="E2" s="704"/>
      <c r="F2" s="704"/>
    </row>
    <row r="3" spans="2:5" ht="21" customHeight="1">
      <c r="B3" s="705" t="str">
        <f>Дата!B2</f>
        <v>19 июня 2019 год</v>
      </c>
      <c r="C3" s="705"/>
      <c r="D3" s="705"/>
      <c r="E3" s="705"/>
    </row>
    <row r="4" spans="2:8" ht="21" customHeight="1">
      <c r="B4" s="706" t="s">
        <v>258</v>
      </c>
      <c r="C4" s="706"/>
      <c r="D4" s="706"/>
      <c r="E4" s="706"/>
      <c r="H4" s="560"/>
    </row>
    <row r="5" s="18" customFormat="1" ht="14.25" customHeight="1" thickBot="1"/>
    <row r="6" spans="2:5" s="19" customFormat="1" ht="14.25" customHeight="1" thickBot="1">
      <c r="B6" s="715" t="s">
        <v>32</v>
      </c>
      <c r="C6" s="35" t="s">
        <v>263</v>
      </c>
      <c r="D6" s="710" t="s">
        <v>52</v>
      </c>
      <c r="E6" s="36" t="s">
        <v>36</v>
      </c>
    </row>
    <row r="7" spans="2:5" s="31" customFormat="1" ht="22.5" customHeight="1" thickBot="1">
      <c r="B7" s="716"/>
      <c r="C7" s="550" t="s">
        <v>35</v>
      </c>
      <c r="D7" s="711"/>
      <c r="E7" s="16" t="s">
        <v>35</v>
      </c>
    </row>
    <row r="8" spans="2:5" s="39" customFormat="1" ht="18" customHeight="1">
      <c r="B8" s="37">
        <v>2</v>
      </c>
      <c r="C8" s="314">
        <v>8023.06</v>
      </c>
      <c r="D8" s="712">
        <v>2400</v>
      </c>
      <c r="E8" s="314"/>
    </row>
    <row r="9" spans="2:5" s="39" customFormat="1" ht="18" customHeight="1">
      <c r="B9" s="42">
        <v>3</v>
      </c>
      <c r="C9" s="338">
        <v>8023.13</v>
      </c>
      <c r="D9" s="713"/>
      <c r="E9" s="549">
        <f>ROUND((C9-C8)*2400,0)</f>
        <v>168</v>
      </c>
    </row>
    <row r="10" spans="2:5" s="39" customFormat="1" ht="18" customHeight="1">
      <c r="B10" s="42">
        <v>4</v>
      </c>
      <c r="C10" s="338">
        <v>8023.2</v>
      </c>
      <c r="D10" s="713"/>
      <c r="E10" s="549">
        <f aca="true" t="shared" si="0" ref="E10:E32">ROUND((C10-C9)*2400,0)</f>
        <v>168</v>
      </c>
    </row>
    <row r="11" spans="2:5" s="39" customFormat="1" ht="18" customHeight="1">
      <c r="B11" s="42">
        <v>5</v>
      </c>
      <c r="C11" s="338">
        <v>8023.25</v>
      </c>
      <c r="D11" s="713"/>
      <c r="E11" s="549">
        <f t="shared" si="0"/>
        <v>120</v>
      </c>
    </row>
    <row r="12" spans="2:5" s="39" customFormat="1" ht="18" customHeight="1">
      <c r="B12" s="42">
        <v>6</v>
      </c>
      <c r="C12" s="338">
        <v>8023.3</v>
      </c>
      <c r="D12" s="713"/>
      <c r="E12" s="549">
        <f t="shared" si="0"/>
        <v>120</v>
      </c>
    </row>
    <row r="13" spans="2:5" s="39" customFormat="1" ht="18" customHeight="1">
      <c r="B13" s="42">
        <v>7</v>
      </c>
      <c r="C13" s="338">
        <v>8023.36</v>
      </c>
      <c r="D13" s="713"/>
      <c r="E13" s="549">
        <f t="shared" si="0"/>
        <v>144</v>
      </c>
    </row>
    <row r="14" spans="2:5" s="39" customFormat="1" ht="18" customHeight="1">
      <c r="B14" s="42">
        <v>8</v>
      </c>
      <c r="C14" s="338">
        <v>8023.43</v>
      </c>
      <c r="D14" s="713"/>
      <c r="E14" s="549">
        <f t="shared" si="0"/>
        <v>168</v>
      </c>
    </row>
    <row r="15" spans="2:5" s="39" customFormat="1" ht="18" customHeight="1">
      <c r="B15" s="42">
        <v>9</v>
      </c>
      <c r="C15" s="338">
        <v>8023.5</v>
      </c>
      <c r="D15" s="713"/>
      <c r="E15" s="549">
        <f t="shared" si="0"/>
        <v>168</v>
      </c>
    </row>
    <row r="16" spans="2:5" s="39" customFormat="1" ht="18" customHeight="1">
      <c r="B16" s="42">
        <v>10</v>
      </c>
      <c r="C16" s="338">
        <v>8023.57</v>
      </c>
      <c r="D16" s="713"/>
      <c r="E16" s="549">
        <f t="shared" si="0"/>
        <v>168</v>
      </c>
    </row>
    <row r="17" spans="2:6" s="39" customFormat="1" ht="18" customHeight="1">
      <c r="B17" s="42">
        <v>11</v>
      </c>
      <c r="C17" s="338">
        <v>8023.64</v>
      </c>
      <c r="D17" s="713"/>
      <c r="E17" s="549">
        <f t="shared" si="0"/>
        <v>168</v>
      </c>
      <c r="F17" s="523"/>
    </row>
    <row r="18" spans="2:5" s="39" customFormat="1" ht="18" customHeight="1">
      <c r="B18" s="42">
        <v>12</v>
      </c>
      <c r="C18" s="338">
        <v>8023.71</v>
      </c>
      <c r="D18" s="713"/>
      <c r="E18" s="549">
        <f t="shared" si="0"/>
        <v>168</v>
      </c>
    </row>
    <row r="19" spans="2:5" s="39" customFormat="1" ht="18" customHeight="1">
      <c r="B19" s="42">
        <v>13</v>
      </c>
      <c r="C19" s="338">
        <v>8023.77</v>
      </c>
      <c r="D19" s="713"/>
      <c r="E19" s="549">
        <f t="shared" si="0"/>
        <v>144</v>
      </c>
    </row>
    <row r="20" spans="2:5" s="39" customFormat="1" ht="18" customHeight="1">
      <c r="B20" s="42">
        <v>14</v>
      </c>
      <c r="C20" s="338">
        <v>8023.83</v>
      </c>
      <c r="D20" s="713"/>
      <c r="E20" s="549">
        <f t="shared" si="0"/>
        <v>144</v>
      </c>
    </row>
    <row r="21" spans="2:5" s="39" customFormat="1" ht="18" customHeight="1">
      <c r="B21" s="42">
        <v>15</v>
      </c>
      <c r="C21" s="338">
        <v>8023.9</v>
      </c>
      <c r="D21" s="713"/>
      <c r="E21" s="549">
        <f t="shared" si="0"/>
        <v>168</v>
      </c>
    </row>
    <row r="22" spans="2:5" s="39" customFormat="1" ht="18" customHeight="1">
      <c r="B22" s="42">
        <v>16</v>
      </c>
      <c r="C22" s="338">
        <v>8023.96</v>
      </c>
      <c r="D22" s="713"/>
      <c r="E22" s="549">
        <f t="shared" si="0"/>
        <v>144</v>
      </c>
    </row>
    <row r="23" spans="2:5" s="39" customFormat="1" ht="18" customHeight="1">
      <c r="B23" s="42">
        <v>17</v>
      </c>
      <c r="C23" s="338">
        <v>8024.02</v>
      </c>
      <c r="D23" s="713"/>
      <c r="E23" s="549">
        <f t="shared" si="0"/>
        <v>144</v>
      </c>
    </row>
    <row r="24" spans="2:5" s="39" customFormat="1" ht="18" customHeight="1">
      <c r="B24" s="42">
        <v>18</v>
      </c>
      <c r="C24" s="338">
        <v>8024.08</v>
      </c>
      <c r="D24" s="713"/>
      <c r="E24" s="549">
        <f t="shared" si="0"/>
        <v>144</v>
      </c>
    </row>
    <row r="25" spans="2:5" s="39" customFormat="1" ht="18" customHeight="1">
      <c r="B25" s="42">
        <v>19</v>
      </c>
      <c r="C25" s="338">
        <v>8024.14</v>
      </c>
      <c r="D25" s="713"/>
      <c r="E25" s="549">
        <f t="shared" si="0"/>
        <v>144</v>
      </c>
    </row>
    <row r="26" spans="2:5" s="39" customFormat="1" ht="18" customHeight="1">
      <c r="B26" s="42">
        <v>20</v>
      </c>
      <c r="C26" s="338">
        <v>8024.2</v>
      </c>
      <c r="D26" s="713"/>
      <c r="E26" s="549">
        <f t="shared" si="0"/>
        <v>144</v>
      </c>
    </row>
    <row r="27" spans="2:5" s="39" customFormat="1" ht="18" customHeight="1">
      <c r="B27" s="42">
        <v>21</v>
      </c>
      <c r="C27" s="338">
        <v>8024.33</v>
      </c>
      <c r="D27" s="713"/>
      <c r="E27" s="549">
        <f t="shared" si="0"/>
        <v>312</v>
      </c>
    </row>
    <row r="28" spans="2:5" s="39" customFormat="1" ht="18" customHeight="1">
      <c r="B28" s="42">
        <v>22</v>
      </c>
      <c r="C28" s="338">
        <v>8024.4</v>
      </c>
      <c r="D28" s="713"/>
      <c r="E28" s="549">
        <f t="shared" si="0"/>
        <v>168</v>
      </c>
    </row>
    <row r="29" spans="2:5" s="39" customFormat="1" ht="18" customHeight="1">
      <c r="B29" s="42">
        <v>23</v>
      </c>
      <c r="C29" s="338">
        <v>8024.46</v>
      </c>
      <c r="D29" s="713"/>
      <c r="E29" s="549">
        <f t="shared" si="0"/>
        <v>144</v>
      </c>
    </row>
    <row r="30" spans="2:5" s="39" customFormat="1" ht="18" customHeight="1">
      <c r="B30" s="42">
        <v>24</v>
      </c>
      <c r="C30" s="338">
        <v>8024.52</v>
      </c>
      <c r="D30" s="713"/>
      <c r="E30" s="549">
        <f t="shared" si="0"/>
        <v>144</v>
      </c>
    </row>
    <row r="31" spans="2:5" s="39" customFormat="1" ht="18" customHeight="1">
      <c r="B31" s="42">
        <v>1</v>
      </c>
      <c r="C31" s="338">
        <v>8024.57</v>
      </c>
      <c r="D31" s="713"/>
      <c r="E31" s="549">
        <f t="shared" si="0"/>
        <v>120</v>
      </c>
    </row>
    <row r="32" spans="2:5" s="39" customFormat="1" ht="18" customHeight="1" thickBot="1">
      <c r="B32" s="56">
        <v>2</v>
      </c>
      <c r="C32" s="339">
        <v>8024.6</v>
      </c>
      <c r="D32" s="714"/>
      <c r="E32" s="549">
        <f t="shared" si="0"/>
        <v>72</v>
      </c>
    </row>
    <row r="33" spans="2:5" ht="16.5" thickBot="1">
      <c r="B33" s="707" t="s">
        <v>33</v>
      </c>
      <c r="C33" s="708"/>
      <c r="D33" s="709"/>
      <c r="E33" s="203">
        <f>SUM(E9:E32)</f>
        <v>3696</v>
      </c>
    </row>
    <row r="36" spans="4:5" ht="15.75">
      <c r="D36" s="220" t="s">
        <v>73</v>
      </c>
      <c r="E36" s="107">
        <f>SUM(E9:E32)/24</f>
        <v>154</v>
      </c>
    </row>
    <row r="37" spans="4:5" ht="15.75">
      <c r="D37" s="220" t="s">
        <v>74</v>
      </c>
      <c r="E37" s="107">
        <f>MAX(E9:E32)</f>
        <v>312</v>
      </c>
    </row>
    <row r="38" spans="4:5" ht="15.75">
      <c r="D38" s="4" t="s">
        <v>91</v>
      </c>
      <c r="E38" s="114">
        <f>E36/E37</f>
        <v>0.4935897435897436</v>
      </c>
    </row>
    <row r="39" spans="4:5" ht="15.75">
      <c r="D39" s="4"/>
      <c r="E39" s="114"/>
    </row>
    <row r="40" spans="4:5" ht="15.75">
      <c r="D40" s="4"/>
      <c r="E40" s="114"/>
    </row>
    <row r="41" spans="2:5" s="18" customFormat="1" ht="20.25" customHeight="1">
      <c r="B41" s="97" t="str">
        <f>КарНУМН!C40</f>
        <v>Начальник СУРЭМ</v>
      </c>
      <c r="C41" s="561"/>
      <c r="D41" s="562"/>
      <c r="E41" s="563" t="str">
        <f>КарНУМН!H40</f>
        <v>/Костылина Л.Ж.</v>
      </c>
    </row>
  </sheetData>
  <sheetProtection/>
  <mergeCells count="7">
    <mergeCell ref="A2:F2"/>
    <mergeCell ref="B3:E3"/>
    <mergeCell ref="B4:E4"/>
    <mergeCell ref="B33:D33"/>
    <mergeCell ref="D6:D7"/>
    <mergeCell ref="D8:D32"/>
    <mergeCell ref="B6:B7"/>
  </mergeCells>
  <printOptions/>
  <pageMargins left="0.75" right="0.75" top="1" bottom="1" header="0.5" footer="0.5"/>
  <pageSetup horizontalDpi="1200" verticalDpi="1200" orientation="portrait" paperSize="9" scale="9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42"/>
  <sheetViews>
    <sheetView view="pageBreakPreview" zoomScale="60" zoomScalePageLayoutView="0" workbookViewId="0" topLeftCell="G19">
      <selection activeCell="G25" sqref="G25"/>
    </sheetView>
  </sheetViews>
  <sheetFormatPr defaultColWidth="9.140625" defaultRowHeight="12.75"/>
  <cols>
    <col min="1" max="1" width="5.8515625" style="0" hidden="1" customWidth="1"/>
    <col min="2" max="2" width="10.00390625" style="0" hidden="1" customWidth="1"/>
    <col min="3" max="3" width="23.8515625" style="0" hidden="1" customWidth="1"/>
    <col min="4" max="6" width="24.00390625" style="0" hidden="1" customWidth="1"/>
    <col min="7" max="7" width="10.57421875" style="0" customWidth="1"/>
    <col min="8" max="8" width="11.57421875" style="0" customWidth="1"/>
    <col min="9" max="12" width="17.7109375" style="0" customWidth="1"/>
    <col min="13" max="13" width="20.7109375" style="0" customWidth="1"/>
    <col min="14" max="14" width="13.00390625" style="0" customWidth="1"/>
    <col min="15" max="15" width="23.00390625" style="0" customWidth="1"/>
  </cols>
  <sheetData>
    <row r="1" spans="2:22" ht="33.75" customHeight="1">
      <c r="B1" s="655" t="s">
        <v>301</v>
      </c>
      <c r="C1" s="655"/>
      <c r="D1" s="655"/>
      <c r="E1" s="655"/>
      <c r="F1" s="655"/>
      <c r="G1" s="679" t="str">
        <f>'Лемпино РН-ЮНГ'!A2</f>
        <v>Ведомость контрольных замеров электрических нагрузок в сетях филиала АО "Горэлектросеть" "ПЭС", присоединенных к сетям ООО "РН-Юганскнефтегаз",</v>
      </c>
      <c r="H1" s="679"/>
      <c r="I1" s="679"/>
      <c r="J1" s="679"/>
      <c r="K1" s="679"/>
      <c r="L1" s="679"/>
      <c r="M1" s="679"/>
      <c r="N1" s="679"/>
      <c r="O1" s="211"/>
      <c r="P1" s="211"/>
      <c r="Q1" s="211"/>
      <c r="R1" s="211"/>
      <c r="S1" s="211"/>
      <c r="T1" s="211"/>
      <c r="U1" s="211"/>
      <c r="V1" s="211"/>
    </row>
    <row r="2" spans="1:22" ht="25.5" customHeight="1">
      <c r="A2" s="105"/>
      <c r="B2" s="655"/>
      <c r="C2" s="655"/>
      <c r="D2" s="655"/>
      <c r="E2" s="655"/>
      <c r="F2" s="655"/>
      <c r="G2" s="680" t="str">
        <f>Дата!B2</f>
        <v>19 июня 2019 год</v>
      </c>
      <c r="H2" s="680"/>
      <c r="I2" s="680"/>
      <c r="J2" s="680"/>
      <c r="K2" s="680"/>
      <c r="L2" s="680"/>
      <c r="M2" s="680"/>
      <c r="N2" s="680"/>
      <c r="O2" s="211"/>
      <c r="P2" s="211"/>
      <c r="Q2" s="211"/>
      <c r="R2" s="211"/>
      <c r="S2" s="211"/>
      <c r="T2" s="211"/>
      <c r="U2" s="211"/>
      <c r="V2" s="211"/>
    </row>
    <row r="3" spans="1:22" ht="25.5" customHeight="1">
      <c r="A3" s="105"/>
      <c r="B3" s="105"/>
      <c r="C3" s="105"/>
      <c r="D3" s="105"/>
      <c r="E3" s="105"/>
      <c r="F3" s="105"/>
      <c r="G3" s="674" t="s">
        <v>322</v>
      </c>
      <c r="H3" s="674"/>
      <c r="I3" s="674"/>
      <c r="J3" s="674"/>
      <c r="K3" s="674"/>
      <c r="L3" s="674"/>
      <c r="M3" s="674"/>
      <c r="N3" s="674"/>
      <c r="O3" s="211"/>
      <c r="P3" s="211"/>
      <c r="Q3" s="211"/>
      <c r="R3" s="211"/>
      <c r="S3" s="211"/>
      <c r="T3" s="211"/>
      <c r="U3" s="211"/>
      <c r="V3" s="211"/>
    </row>
    <row r="4" spans="2:16" ht="16.5" customHeight="1" thickBot="1">
      <c r="B4" s="655" t="s">
        <v>289</v>
      </c>
      <c r="C4" s="655"/>
      <c r="D4" s="655"/>
      <c r="E4" s="655"/>
      <c r="F4" s="655"/>
      <c r="O4" s="2"/>
      <c r="P4" s="2"/>
    </row>
    <row r="5" spans="8:16" ht="0.75" customHeight="1" thickBot="1">
      <c r="H5" s="693" t="s">
        <v>22</v>
      </c>
      <c r="I5" s="717" t="s">
        <v>26</v>
      </c>
      <c r="J5" s="718"/>
      <c r="K5" s="718"/>
      <c r="L5" s="719"/>
      <c r="M5" s="686" t="s">
        <v>264</v>
      </c>
      <c r="N5" s="49"/>
      <c r="O5" s="2"/>
      <c r="P5" s="2"/>
    </row>
    <row r="6" spans="2:16" ht="36.75" customHeight="1" thickBot="1">
      <c r="B6" s="664" t="s">
        <v>22</v>
      </c>
      <c r="C6" s="619" t="s">
        <v>308</v>
      </c>
      <c r="D6" s="619" t="s">
        <v>310</v>
      </c>
      <c r="E6" s="619" t="s">
        <v>312</v>
      </c>
      <c r="F6" s="658" t="s">
        <v>307</v>
      </c>
      <c r="H6" s="694"/>
      <c r="I6" s="720" t="s">
        <v>260</v>
      </c>
      <c r="J6" s="721"/>
      <c r="K6" s="720" t="s">
        <v>259</v>
      </c>
      <c r="L6" s="721"/>
      <c r="M6" s="687"/>
      <c r="N6" s="49"/>
      <c r="O6" s="2"/>
      <c r="P6" s="2"/>
    </row>
    <row r="7" spans="2:16" ht="51.75" customHeight="1" thickBot="1">
      <c r="B7" s="665"/>
      <c r="C7" s="272" t="s">
        <v>309</v>
      </c>
      <c r="D7" s="272" t="s">
        <v>311</v>
      </c>
      <c r="E7" s="272" t="s">
        <v>313</v>
      </c>
      <c r="F7" s="659"/>
      <c r="H7" s="695"/>
      <c r="I7" s="551" t="s">
        <v>261</v>
      </c>
      <c r="J7" s="552" t="s">
        <v>43</v>
      </c>
      <c r="K7" s="553" t="s">
        <v>262</v>
      </c>
      <c r="L7" s="552" t="s">
        <v>43</v>
      </c>
      <c r="M7" s="688"/>
      <c r="N7" s="133"/>
      <c r="O7" s="2"/>
      <c r="P7" s="2"/>
    </row>
    <row r="8" spans="2:16" ht="19.5" customHeight="1">
      <c r="B8" s="37">
        <v>2</v>
      </c>
      <c r="C8" s="64"/>
      <c r="D8" s="64"/>
      <c r="E8" s="64"/>
      <c r="F8" s="212"/>
      <c r="H8" s="37">
        <v>2</v>
      </c>
      <c r="I8" s="574">
        <v>19488.545</v>
      </c>
      <c r="J8" s="180"/>
      <c r="K8" s="574">
        <v>6672.807</v>
      </c>
      <c r="L8" s="181"/>
      <c r="M8" s="212"/>
      <c r="N8" s="129"/>
      <c r="O8" s="2"/>
      <c r="P8" s="2"/>
    </row>
    <row r="9" spans="2:16" ht="19.5" customHeight="1">
      <c r="B9" s="42">
        <v>3</v>
      </c>
      <c r="C9" s="567">
        <v>463</v>
      </c>
      <c r="D9" s="567">
        <v>151</v>
      </c>
      <c r="E9" s="567">
        <v>75</v>
      </c>
      <c r="F9" s="213">
        <f aca="true" t="shared" si="0" ref="F9:F32">C9+D9+E9</f>
        <v>689</v>
      </c>
      <c r="G9" s="524"/>
      <c r="H9" s="42">
        <v>3</v>
      </c>
      <c r="I9" s="575">
        <v>19488.781</v>
      </c>
      <c r="J9" s="554">
        <f>ROUND((I9-I8)*120,0)</f>
        <v>28</v>
      </c>
      <c r="K9" s="575">
        <v>6672.807</v>
      </c>
      <c r="L9" s="554">
        <f>ROUND((K9-K8)*120,0)</f>
        <v>0</v>
      </c>
      <c r="M9" s="213">
        <f>L9+J9</f>
        <v>28</v>
      </c>
      <c r="N9" s="129"/>
      <c r="O9" s="2"/>
      <c r="P9" s="160"/>
    </row>
    <row r="10" spans="2:16" ht="19.5" customHeight="1">
      <c r="B10" s="70">
        <v>4</v>
      </c>
      <c r="C10" s="567">
        <v>460</v>
      </c>
      <c r="D10" s="567">
        <v>151</v>
      </c>
      <c r="E10" s="567">
        <v>71</v>
      </c>
      <c r="F10" s="213">
        <f t="shared" si="0"/>
        <v>682</v>
      </c>
      <c r="G10" s="524"/>
      <c r="H10" s="42">
        <v>4</v>
      </c>
      <c r="I10" s="575">
        <v>19489.021</v>
      </c>
      <c r="J10" s="554">
        <f aca="true" t="shared" si="1" ref="J10:J32">ROUND((I10-I9)*120,0)</f>
        <v>29</v>
      </c>
      <c r="K10" s="575">
        <v>6672.807</v>
      </c>
      <c r="L10" s="554">
        <f aca="true" t="shared" si="2" ref="L10:L32">ROUND((K10-K9)*120,0)</f>
        <v>0</v>
      </c>
      <c r="M10" s="213">
        <f aca="true" t="shared" si="3" ref="M10:M32">L10+J10</f>
        <v>29</v>
      </c>
      <c r="N10" s="129"/>
      <c r="O10" s="2"/>
      <c r="P10" s="160"/>
    </row>
    <row r="11" spans="2:16" ht="19.5" customHeight="1">
      <c r="B11" s="70">
        <v>5</v>
      </c>
      <c r="C11" s="567">
        <v>478</v>
      </c>
      <c r="D11" s="567">
        <v>150</v>
      </c>
      <c r="E11" s="567">
        <v>73</v>
      </c>
      <c r="F11" s="213">
        <f t="shared" si="0"/>
        <v>701</v>
      </c>
      <c r="G11" s="524"/>
      <c r="H11" s="42">
        <v>5</v>
      </c>
      <c r="I11" s="575">
        <v>19489.252</v>
      </c>
      <c r="J11" s="554">
        <f t="shared" si="1"/>
        <v>28</v>
      </c>
      <c r="K11" s="575">
        <v>6672.807</v>
      </c>
      <c r="L11" s="554">
        <f t="shared" si="2"/>
        <v>0</v>
      </c>
      <c r="M11" s="213">
        <f t="shared" si="3"/>
        <v>28</v>
      </c>
      <c r="N11" s="129"/>
      <c r="O11" s="2"/>
      <c r="P11" s="160"/>
    </row>
    <row r="12" spans="2:16" ht="19.5" customHeight="1">
      <c r="B12" s="70">
        <v>6</v>
      </c>
      <c r="C12" s="567">
        <v>487</v>
      </c>
      <c r="D12" s="567">
        <v>153</v>
      </c>
      <c r="E12" s="567">
        <v>80</v>
      </c>
      <c r="F12" s="213">
        <f t="shared" si="0"/>
        <v>720</v>
      </c>
      <c r="G12" s="524"/>
      <c r="H12" s="42">
        <v>6</v>
      </c>
      <c r="I12" s="575">
        <v>19489.482</v>
      </c>
      <c r="J12" s="554">
        <f t="shared" si="1"/>
        <v>28</v>
      </c>
      <c r="K12" s="575">
        <v>6672.807</v>
      </c>
      <c r="L12" s="554">
        <f t="shared" si="2"/>
        <v>0</v>
      </c>
      <c r="M12" s="213">
        <f t="shared" si="3"/>
        <v>28</v>
      </c>
      <c r="N12" s="129"/>
      <c r="O12" s="2"/>
      <c r="P12" s="160"/>
    </row>
    <row r="13" spans="2:16" ht="19.5" customHeight="1">
      <c r="B13" s="70">
        <v>7</v>
      </c>
      <c r="C13" s="567">
        <v>518</v>
      </c>
      <c r="D13" s="567">
        <v>167</v>
      </c>
      <c r="E13" s="567">
        <v>112</v>
      </c>
      <c r="F13" s="213">
        <f t="shared" si="0"/>
        <v>797</v>
      </c>
      <c r="G13" s="524"/>
      <c r="H13" s="42">
        <v>7</v>
      </c>
      <c r="I13" s="575">
        <v>19489.713</v>
      </c>
      <c r="J13" s="554">
        <f t="shared" si="1"/>
        <v>28</v>
      </c>
      <c r="K13" s="575">
        <v>6672.807</v>
      </c>
      <c r="L13" s="554">
        <f t="shared" si="2"/>
        <v>0</v>
      </c>
      <c r="M13" s="213">
        <f t="shared" si="3"/>
        <v>28</v>
      </c>
      <c r="N13" s="129"/>
      <c r="O13" s="2"/>
      <c r="P13" s="160"/>
    </row>
    <row r="14" spans="2:16" ht="19.5" customHeight="1">
      <c r="B14" s="70">
        <v>8</v>
      </c>
      <c r="C14" s="567">
        <v>543</v>
      </c>
      <c r="D14" s="567">
        <v>175</v>
      </c>
      <c r="E14" s="567">
        <v>111</v>
      </c>
      <c r="F14" s="213">
        <f t="shared" si="0"/>
        <v>829</v>
      </c>
      <c r="G14" s="524"/>
      <c r="H14" s="42">
        <v>8</v>
      </c>
      <c r="I14" s="575">
        <v>19489.943</v>
      </c>
      <c r="J14" s="554">
        <f t="shared" si="1"/>
        <v>28</v>
      </c>
      <c r="K14" s="575">
        <v>6672.807</v>
      </c>
      <c r="L14" s="554">
        <f t="shared" si="2"/>
        <v>0</v>
      </c>
      <c r="M14" s="213">
        <f t="shared" si="3"/>
        <v>28</v>
      </c>
      <c r="N14" s="129"/>
      <c r="O14" s="2"/>
      <c r="P14" s="160"/>
    </row>
    <row r="15" spans="2:16" ht="19.5" customHeight="1">
      <c r="B15" s="70">
        <v>9</v>
      </c>
      <c r="C15" s="567">
        <v>532</v>
      </c>
      <c r="D15" s="567">
        <v>153</v>
      </c>
      <c r="E15" s="567">
        <v>99</v>
      </c>
      <c r="F15" s="213">
        <f t="shared" si="0"/>
        <v>784</v>
      </c>
      <c r="G15" s="524"/>
      <c r="H15" s="42">
        <v>9</v>
      </c>
      <c r="I15" s="575">
        <v>19490.172</v>
      </c>
      <c r="J15" s="554">
        <f t="shared" si="1"/>
        <v>27</v>
      </c>
      <c r="K15" s="575">
        <v>6672.807</v>
      </c>
      <c r="L15" s="554">
        <f t="shared" si="2"/>
        <v>0</v>
      </c>
      <c r="M15" s="213">
        <f t="shared" si="3"/>
        <v>27</v>
      </c>
      <c r="N15" s="129"/>
      <c r="O15" s="2"/>
      <c r="P15" s="160"/>
    </row>
    <row r="16" spans="2:16" ht="19.5" customHeight="1">
      <c r="B16" s="70">
        <v>10</v>
      </c>
      <c r="C16" s="567">
        <v>553</v>
      </c>
      <c r="D16" s="567">
        <v>152</v>
      </c>
      <c r="E16" s="567">
        <v>89</v>
      </c>
      <c r="F16" s="213">
        <f t="shared" si="0"/>
        <v>794</v>
      </c>
      <c r="G16" s="524"/>
      <c r="H16" s="42">
        <v>10</v>
      </c>
      <c r="I16" s="575">
        <v>19490.402</v>
      </c>
      <c r="J16" s="554">
        <f t="shared" si="1"/>
        <v>28</v>
      </c>
      <c r="K16" s="575">
        <v>6672.807</v>
      </c>
      <c r="L16" s="554">
        <f t="shared" si="2"/>
        <v>0</v>
      </c>
      <c r="M16" s="213">
        <f t="shared" si="3"/>
        <v>28</v>
      </c>
      <c r="N16" s="129"/>
      <c r="O16" s="2"/>
      <c r="P16" s="160"/>
    </row>
    <row r="17" spans="2:16" ht="19.5" customHeight="1">
      <c r="B17" s="70">
        <v>11</v>
      </c>
      <c r="C17" s="567">
        <v>567</v>
      </c>
      <c r="D17" s="567">
        <v>150</v>
      </c>
      <c r="E17" s="567">
        <v>94</v>
      </c>
      <c r="F17" s="213">
        <f t="shared" si="0"/>
        <v>811</v>
      </c>
      <c r="G17" s="524"/>
      <c r="H17" s="42">
        <v>11</v>
      </c>
      <c r="I17" s="575">
        <v>19490.637</v>
      </c>
      <c r="J17" s="554">
        <f t="shared" si="1"/>
        <v>28</v>
      </c>
      <c r="K17" s="575">
        <v>6672.807</v>
      </c>
      <c r="L17" s="554">
        <f t="shared" si="2"/>
        <v>0</v>
      </c>
      <c r="M17" s="213">
        <f t="shared" si="3"/>
        <v>28</v>
      </c>
      <c r="N17" s="129"/>
      <c r="O17" s="2"/>
      <c r="P17" s="160"/>
    </row>
    <row r="18" spans="2:16" ht="19.5" customHeight="1">
      <c r="B18" s="70">
        <v>12</v>
      </c>
      <c r="C18" s="567">
        <v>571</v>
      </c>
      <c r="D18" s="567">
        <v>153</v>
      </c>
      <c r="E18" s="567">
        <v>90</v>
      </c>
      <c r="F18" s="213">
        <f t="shared" si="0"/>
        <v>814</v>
      </c>
      <c r="G18" s="524"/>
      <c r="H18" s="42">
        <v>12</v>
      </c>
      <c r="I18" s="576">
        <v>19490.873</v>
      </c>
      <c r="J18" s="554">
        <f t="shared" si="1"/>
        <v>28</v>
      </c>
      <c r="K18" s="575">
        <v>6672.807</v>
      </c>
      <c r="L18" s="554">
        <f t="shared" si="2"/>
        <v>0</v>
      </c>
      <c r="M18" s="213">
        <f t="shared" si="3"/>
        <v>28</v>
      </c>
      <c r="N18" s="129"/>
      <c r="O18" s="2"/>
      <c r="P18" s="160"/>
    </row>
    <row r="19" spans="2:16" ht="19.5" customHeight="1">
      <c r="B19" s="70">
        <v>13</v>
      </c>
      <c r="C19" s="567">
        <v>579</v>
      </c>
      <c r="D19" s="567">
        <v>156</v>
      </c>
      <c r="E19" s="567">
        <v>98</v>
      </c>
      <c r="F19" s="213">
        <f t="shared" si="0"/>
        <v>833</v>
      </c>
      <c r="G19" s="524"/>
      <c r="H19" s="42">
        <v>13</v>
      </c>
      <c r="I19" s="576">
        <v>19491.107</v>
      </c>
      <c r="J19" s="554">
        <f t="shared" si="1"/>
        <v>28</v>
      </c>
      <c r="K19" s="575">
        <v>6672.807</v>
      </c>
      <c r="L19" s="554">
        <f t="shared" si="2"/>
        <v>0</v>
      </c>
      <c r="M19" s="213">
        <f t="shared" si="3"/>
        <v>28</v>
      </c>
      <c r="N19" s="129"/>
      <c r="O19" s="2"/>
      <c r="P19" s="160"/>
    </row>
    <row r="20" spans="2:16" ht="19.5" customHeight="1">
      <c r="B20" s="70">
        <v>14</v>
      </c>
      <c r="C20" s="567">
        <v>614</v>
      </c>
      <c r="D20" s="567">
        <v>168</v>
      </c>
      <c r="E20" s="567">
        <v>107</v>
      </c>
      <c r="F20" s="213">
        <f t="shared" si="0"/>
        <v>889</v>
      </c>
      <c r="G20" s="524"/>
      <c r="H20" s="42">
        <v>14</v>
      </c>
      <c r="I20" s="576">
        <v>19491.373</v>
      </c>
      <c r="J20" s="554">
        <f t="shared" si="1"/>
        <v>32</v>
      </c>
      <c r="K20" s="575">
        <v>6672.807</v>
      </c>
      <c r="L20" s="554">
        <f t="shared" si="2"/>
        <v>0</v>
      </c>
      <c r="M20" s="213">
        <f t="shared" si="3"/>
        <v>32</v>
      </c>
      <c r="N20" s="129"/>
      <c r="O20" s="2"/>
      <c r="P20" s="160"/>
    </row>
    <row r="21" spans="2:16" ht="19.5" customHeight="1">
      <c r="B21" s="70">
        <v>15</v>
      </c>
      <c r="C21" s="567">
        <v>579</v>
      </c>
      <c r="D21" s="567">
        <v>172</v>
      </c>
      <c r="E21" s="567">
        <v>89</v>
      </c>
      <c r="F21" s="213">
        <f t="shared" si="0"/>
        <v>840</v>
      </c>
      <c r="G21" s="524"/>
      <c r="H21" s="42">
        <v>15</v>
      </c>
      <c r="I21" s="576">
        <v>19491.699</v>
      </c>
      <c r="J21" s="554">
        <f t="shared" si="1"/>
        <v>39</v>
      </c>
      <c r="K21" s="575">
        <v>6672.807</v>
      </c>
      <c r="L21" s="554">
        <f t="shared" si="2"/>
        <v>0</v>
      </c>
      <c r="M21" s="213">
        <f t="shared" si="3"/>
        <v>39</v>
      </c>
      <c r="N21" s="129"/>
      <c r="O21" s="2"/>
      <c r="P21" s="160"/>
    </row>
    <row r="22" spans="2:16" ht="19.5" customHeight="1">
      <c r="B22" s="70">
        <v>16</v>
      </c>
      <c r="C22" s="567">
        <v>611</v>
      </c>
      <c r="D22" s="567">
        <v>189</v>
      </c>
      <c r="E22" s="567">
        <v>86</v>
      </c>
      <c r="F22" s="213">
        <f t="shared" si="0"/>
        <v>886</v>
      </c>
      <c r="G22" s="524"/>
      <c r="H22" s="42">
        <v>16</v>
      </c>
      <c r="I22" s="576">
        <v>19492.066</v>
      </c>
      <c r="J22" s="554">
        <f t="shared" si="1"/>
        <v>44</v>
      </c>
      <c r="K22" s="575">
        <v>6672.807</v>
      </c>
      <c r="L22" s="554">
        <f t="shared" si="2"/>
        <v>0</v>
      </c>
      <c r="M22" s="213">
        <f t="shared" si="3"/>
        <v>44</v>
      </c>
      <c r="N22" s="129"/>
      <c r="O22" s="2"/>
      <c r="P22" s="160"/>
    </row>
    <row r="23" spans="2:16" ht="19.5" customHeight="1">
      <c r="B23" s="70">
        <v>17</v>
      </c>
      <c r="C23" s="567">
        <v>646</v>
      </c>
      <c r="D23" s="567">
        <v>198</v>
      </c>
      <c r="E23" s="567">
        <v>83</v>
      </c>
      <c r="F23" s="213">
        <f t="shared" si="0"/>
        <v>927</v>
      </c>
      <c r="G23" s="524"/>
      <c r="H23" s="42">
        <v>17</v>
      </c>
      <c r="I23" s="576">
        <v>19492.451</v>
      </c>
      <c r="J23" s="554">
        <f t="shared" si="1"/>
        <v>46</v>
      </c>
      <c r="K23" s="575">
        <v>6672.807</v>
      </c>
      <c r="L23" s="554">
        <f t="shared" si="2"/>
        <v>0</v>
      </c>
      <c r="M23" s="213">
        <f t="shared" si="3"/>
        <v>46</v>
      </c>
      <c r="N23" s="129"/>
      <c r="O23" s="2"/>
      <c r="P23" s="160"/>
    </row>
    <row r="24" spans="2:16" ht="19.5" customHeight="1">
      <c r="B24" s="70">
        <v>18</v>
      </c>
      <c r="C24" s="567">
        <v>660</v>
      </c>
      <c r="D24" s="567">
        <v>207</v>
      </c>
      <c r="E24" s="567">
        <v>82</v>
      </c>
      <c r="F24" s="213">
        <f t="shared" si="0"/>
        <v>949</v>
      </c>
      <c r="G24" s="524"/>
      <c r="H24" s="42">
        <v>18</v>
      </c>
      <c r="I24" s="576">
        <v>19492.852</v>
      </c>
      <c r="J24" s="554">
        <f t="shared" si="1"/>
        <v>48</v>
      </c>
      <c r="K24" s="575">
        <v>6672.807</v>
      </c>
      <c r="L24" s="554">
        <f t="shared" si="2"/>
        <v>0</v>
      </c>
      <c r="M24" s="213">
        <f t="shared" si="3"/>
        <v>48</v>
      </c>
      <c r="N24" s="129"/>
      <c r="O24" s="2"/>
      <c r="P24" s="160"/>
    </row>
    <row r="25" spans="2:16" ht="19.5" customHeight="1">
      <c r="B25" s="70">
        <v>19</v>
      </c>
      <c r="C25" s="567">
        <v>670</v>
      </c>
      <c r="D25" s="567">
        <v>219</v>
      </c>
      <c r="E25" s="567">
        <v>84</v>
      </c>
      <c r="F25" s="213">
        <f t="shared" si="0"/>
        <v>973</v>
      </c>
      <c r="G25" s="524"/>
      <c r="H25" s="42">
        <v>19</v>
      </c>
      <c r="I25" s="576">
        <v>19493.246</v>
      </c>
      <c r="J25" s="554">
        <f t="shared" si="1"/>
        <v>47</v>
      </c>
      <c r="K25" s="575">
        <v>6672.807</v>
      </c>
      <c r="L25" s="554">
        <f t="shared" si="2"/>
        <v>0</v>
      </c>
      <c r="M25" s="213">
        <f t="shared" si="3"/>
        <v>47</v>
      </c>
      <c r="N25" s="129"/>
      <c r="O25" s="2"/>
      <c r="P25" s="160"/>
    </row>
    <row r="26" spans="2:16" ht="19.5" customHeight="1">
      <c r="B26" s="70">
        <v>20</v>
      </c>
      <c r="C26" s="567">
        <v>685</v>
      </c>
      <c r="D26" s="567">
        <v>216</v>
      </c>
      <c r="E26" s="567">
        <v>86</v>
      </c>
      <c r="F26" s="213">
        <f t="shared" si="0"/>
        <v>987</v>
      </c>
      <c r="G26" s="524"/>
      <c r="H26" s="42">
        <v>20</v>
      </c>
      <c r="I26" s="576">
        <v>19493.646</v>
      </c>
      <c r="J26" s="554">
        <f t="shared" si="1"/>
        <v>48</v>
      </c>
      <c r="K26" s="575">
        <v>6672.807</v>
      </c>
      <c r="L26" s="554">
        <f t="shared" si="2"/>
        <v>0</v>
      </c>
      <c r="M26" s="213">
        <f t="shared" si="3"/>
        <v>48</v>
      </c>
      <c r="N26" s="129"/>
      <c r="O26" s="2"/>
      <c r="P26" s="160"/>
    </row>
    <row r="27" spans="2:16" ht="19.5" customHeight="1">
      <c r="B27" s="70">
        <v>21</v>
      </c>
      <c r="C27" s="567">
        <v>657</v>
      </c>
      <c r="D27" s="567">
        <v>209</v>
      </c>
      <c r="E27" s="567">
        <v>83</v>
      </c>
      <c r="F27" s="213">
        <f t="shared" si="0"/>
        <v>949</v>
      </c>
      <c r="G27" s="524"/>
      <c r="H27" s="42">
        <v>21</v>
      </c>
      <c r="I27" s="576">
        <v>19494.066</v>
      </c>
      <c r="J27" s="554">
        <f t="shared" si="1"/>
        <v>50</v>
      </c>
      <c r="K27" s="575">
        <v>6672.807</v>
      </c>
      <c r="L27" s="554">
        <f t="shared" si="2"/>
        <v>0</v>
      </c>
      <c r="M27" s="213">
        <f t="shared" si="3"/>
        <v>50</v>
      </c>
      <c r="N27" s="129"/>
      <c r="O27" s="2"/>
      <c r="P27" s="160"/>
    </row>
    <row r="28" spans="2:16" ht="19.5" customHeight="1">
      <c r="B28" s="70">
        <v>22</v>
      </c>
      <c r="C28" s="567">
        <v>641</v>
      </c>
      <c r="D28" s="567">
        <v>202</v>
      </c>
      <c r="E28" s="567">
        <v>81</v>
      </c>
      <c r="F28" s="213">
        <f t="shared" si="0"/>
        <v>924</v>
      </c>
      <c r="G28" s="524"/>
      <c r="H28" s="42">
        <v>22</v>
      </c>
      <c r="I28" s="576">
        <v>19494.479</v>
      </c>
      <c r="J28" s="554">
        <f t="shared" si="1"/>
        <v>50</v>
      </c>
      <c r="K28" s="575">
        <v>6672.807</v>
      </c>
      <c r="L28" s="554">
        <f t="shared" si="2"/>
        <v>0</v>
      </c>
      <c r="M28" s="213">
        <f t="shared" si="3"/>
        <v>50</v>
      </c>
      <c r="N28" s="129"/>
      <c r="O28" s="2"/>
      <c r="P28" s="160"/>
    </row>
    <row r="29" spans="2:16" ht="19.5" customHeight="1">
      <c r="B29" s="70">
        <v>23</v>
      </c>
      <c r="C29" s="567">
        <v>638</v>
      </c>
      <c r="D29" s="567">
        <v>202</v>
      </c>
      <c r="E29" s="567">
        <v>78</v>
      </c>
      <c r="F29" s="213">
        <f t="shared" si="0"/>
        <v>918</v>
      </c>
      <c r="G29" s="524"/>
      <c r="H29" s="42">
        <v>23</v>
      </c>
      <c r="I29" s="576">
        <v>19494.883</v>
      </c>
      <c r="J29" s="554">
        <f t="shared" si="1"/>
        <v>48</v>
      </c>
      <c r="K29" s="575">
        <v>6672.807</v>
      </c>
      <c r="L29" s="554">
        <f t="shared" si="2"/>
        <v>0</v>
      </c>
      <c r="M29" s="213">
        <f t="shared" si="3"/>
        <v>48</v>
      </c>
      <c r="N29" s="129"/>
      <c r="O29" s="2"/>
      <c r="P29" s="160"/>
    </row>
    <row r="30" spans="2:16" ht="19.5" customHeight="1">
      <c r="B30" s="70">
        <v>24</v>
      </c>
      <c r="C30" s="567">
        <v>572</v>
      </c>
      <c r="D30" s="567">
        <v>192</v>
      </c>
      <c r="E30" s="567">
        <v>77</v>
      </c>
      <c r="F30" s="213">
        <f t="shared" si="0"/>
        <v>841</v>
      </c>
      <c r="G30" s="524"/>
      <c r="H30" s="42">
        <v>24</v>
      </c>
      <c r="I30" s="576">
        <v>19495.266</v>
      </c>
      <c r="J30" s="554">
        <f t="shared" si="1"/>
        <v>46</v>
      </c>
      <c r="K30" s="575">
        <v>6672.807</v>
      </c>
      <c r="L30" s="554">
        <f t="shared" si="2"/>
        <v>0</v>
      </c>
      <c r="M30" s="213">
        <f t="shared" si="3"/>
        <v>46</v>
      </c>
      <c r="N30" s="129"/>
      <c r="O30" s="2"/>
      <c r="P30" s="160"/>
    </row>
    <row r="31" spans="2:16" ht="19.5" customHeight="1">
      <c r="B31" s="70">
        <v>1</v>
      </c>
      <c r="C31" s="567">
        <v>543</v>
      </c>
      <c r="D31" s="567">
        <v>184</v>
      </c>
      <c r="E31" s="567">
        <v>76</v>
      </c>
      <c r="F31" s="213">
        <f t="shared" si="0"/>
        <v>803</v>
      </c>
      <c r="G31" s="524"/>
      <c r="H31" s="42">
        <v>1</v>
      </c>
      <c r="I31" s="576">
        <v>19495.639</v>
      </c>
      <c r="J31" s="554">
        <f t="shared" si="1"/>
        <v>45</v>
      </c>
      <c r="K31" s="575">
        <v>6672.807</v>
      </c>
      <c r="L31" s="554">
        <f t="shared" si="2"/>
        <v>0</v>
      </c>
      <c r="M31" s="213">
        <f t="shared" si="3"/>
        <v>45</v>
      </c>
      <c r="N31" s="129"/>
      <c r="O31" s="2"/>
      <c r="P31" s="160"/>
    </row>
    <row r="32" spans="2:16" ht="19.5" customHeight="1" thickBot="1">
      <c r="B32" s="72">
        <v>2</v>
      </c>
      <c r="C32" s="570">
        <v>517</v>
      </c>
      <c r="D32" s="570">
        <v>182</v>
      </c>
      <c r="E32" s="570">
        <v>73</v>
      </c>
      <c r="F32" s="213">
        <f t="shared" si="0"/>
        <v>772</v>
      </c>
      <c r="G32" s="524"/>
      <c r="H32" s="214">
        <v>2</v>
      </c>
      <c r="I32" s="577">
        <v>19496.02</v>
      </c>
      <c r="J32" s="555">
        <f t="shared" si="1"/>
        <v>46</v>
      </c>
      <c r="K32" s="578">
        <v>6672.807</v>
      </c>
      <c r="L32" s="555">
        <f t="shared" si="2"/>
        <v>0</v>
      </c>
      <c r="M32" s="213">
        <f t="shared" si="3"/>
        <v>46</v>
      </c>
      <c r="N32" s="134"/>
      <c r="O32" s="2"/>
      <c r="P32" s="160"/>
    </row>
    <row r="33" spans="2:16" ht="20.25" thickBot="1">
      <c r="B33" s="618" t="s">
        <v>61</v>
      </c>
      <c r="C33" s="203">
        <f>SUM(C9:C32)</f>
        <v>13784</v>
      </c>
      <c r="D33" s="203">
        <f>SUM(D9:D32)</f>
        <v>4251</v>
      </c>
      <c r="E33" s="203">
        <f>SUM(E9:E32)</f>
        <v>2077</v>
      </c>
      <c r="F33" s="215">
        <f>SUM(F9:F32)</f>
        <v>20112</v>
      </c>
      <c r="H33" s="662" t="s">
        <v>42</v>
      </c>
      <c r="I33" s="677"/>
      <c r="J33" s="201">
        <f>SUM(J9:J32)</f>
        <v>897</v>
      </c>
      <c r="K33" s="202"/>
      <c r="L33" s="203">
        <f>SUM(L9:L32)</f>
        <v>0</v>
      </c>
      <c r="M33" s="215">
        <f>SUM(M9:M32)</f>
        <v>897</v>
      </c>
      <c r="N33" s="204"/>
      <c r="O33" s="2"/>
      <c r="P33" s="2"/>
    </row>
    <row r="34" spans="2:14" ht="24.75" customHeight="1">
      <c r="B34" s="1"/>
      <c r="C34" s="83"/>
      <c r="D34" s="83"/>
      <c r="E34" s="83"/>
      <c r="F34" s="83"/>
      <c r="H34" s="108" t="s">
        <v>50</v>
      </c>
      <c r="I34" s="2"/>
      <c r="J34" s="127">
        <f>SUM(J9:J32)/24</f>
        <v>37.375</v>
      </c>
      <c r="K34" s="136"/>
      <c r="L34" s="127"/>
      <c r="M34" s="127">
        <f>SUM(M9:M32)/24</f>
        <v>37.375</v>
      </c>
      <c r="N34" s="130"/>
    </row>
    <row r="35" spans="1:17" s="2" customFormat="1" ht="15.75">
      <c r="A35"/>
      <c r="B35"/>
      <c r="C35" s="144"/>
      <c r="D35" s="144"/>
      <c r="E35" s="111" t="s">
        <v>66</v>
      </c>
      <c r="F35" s="83">
        <f>SUM(F9:F32)/24</f>
        <v>838</v>
      </c>
      <c r="H35" s="108" t="s">
        <v>51</v>
      </c>
      <c r="J35" s="127">
        <f>MAX(J9:J32)</f>
        <v>50</v>
      </c>
      <c r="K35" s="136"/>
      <c r="L35" s="127"/>
      <c r="M35" s="127">
        <f>MAX(M9:M32)</f>
        <v>50</v>
      </c>
      <c r="N35" s="130"/>
      <c r="Q35"/>
    </row>
    <row r="36" spans="1:17" s="2" customFormat="1" ht="15.75">
      <c r="A36"/>
      <c r="B36"/>
      <c r="C36" s="144"/>
      <c r="D36" s="144"/>
      <c r="E36" s="111" t="s">
        <v>67</v>
      </c>
      <c r="F36" s="83">
        <f>MAX(F9:F32)</f>
        <v>987</v>
      </c>
      <c r="H36" s="110" t="s">
        <v>54</v>
      </c>
      <c r="J36" s="128">
        <f>J34/J35</f>
        <v>0.7475</v>
      </c>
      <c r="K36" s="196"/>
      <c r="L36" s="128"/>
      <c r="M36" s="128">
        <f>M34/M35</f>
        <v>0.7475</v>
      </c>
      <c r="N36" s="135"/>
      <c r="Q36"/>
    </row>
    <row r="37" spans="3:6" ht="15.75">
      <c r="C37" s="144"/>
      <c r="D37" s="144"/>
      <c r="E37" s="547" t="s">
        <v>54</v>
      </c>
      <c r="F37" s="566">
        <f>F35/F36</f>
        <v>0.8490374873353597</v>
      </c>
    </row>
    <row r="38" spans="2:6" ht="15.75">
      <c r="B38" s="108"/>
      <c r="E38" s="111"/>
      <c r="F38" s="111"/>
    </row>
    <row r="40" spans="3:13" ht="12.75">
      <c r="C40" s="573" t="s">
        <v>290</v>
      </c>
      <c r="E40" s="99"/>
      <c r="F40" s="101" t="s">
        <v>291</v>
      </c>
      <c r="M40" s="2"/>
    </row>
    <row r="41" spans="2:6" ht="15.75">
      <c r="B41" s="108"/>
      <c r="E41" s="111"/>
      <c r="F41" s="111"/>
    </row>
    <row r="42" spans="2:6" ht="15.75">
      <c r="B42" s="110"/>
      <c r="E42" s="547"/>
      <c r="F42" s="113"/>
    </row>
  </sheetData>
  <sheetProtection/>
  <mergeCells count="13">
    <mergeCell ref="K6:L6"/>
    <mergeCell ref="H5:H7"/>
    <mergeCell ref="H33:I33"/>
    <mergeCell ref="G3:N3"/>
    <mergeCell ref="B1:F2"/>
    <mergeCell ref="B4:F4"/>
    <mergeCell ref="B6:B7"/>
    <mergeCell ref="F6:F7"/>
    <mergeCell ref="G1:N1"/>
    <mergeCell ref="G2:N2"/>
    <mergeCell ref="M5:M7"/>
    <mergeCell ref="I5:L5"/>
    <mergeCell ref="I6:J6"/>
  </mergeCells>
  <printOptions horizontalCentered="1"/>
  <pageMargins left="0" right="0" top="0.41" bottom="0.16" header="0.5118110236220472" footer="0.16"/>
  <pageSetup fitToWidth="0" fitToHeight="1" horizontalDpi="1200" verticalDpi="1200" orientation="landscape" paperSize="9" scale="71" r:id="rId3"/>
  <colBreaks count="1" manualBreakCount="1">
    <brk id="6" max="3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Костылина Лилия Жалиловна</cp:lastModifiedBy>
  <cp:lastPrinted>2019-06-26T08:50:42Z</cp:lastPrinted>
  <dcterms:created xsi:type="dcterms:W3CDTF">1996-10-08T23:32:33Z</dcterms:created>
  <dcterms:modified xsi:type="dcterms:W3CDTF">2019-07-04T03:54:50Z</dcterms:modified>
  <cp:category/>
  <cp:version/>
  <cp:contentType/>
  <cp:contentStatus/>
</cp:coreProperties>
</file>