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50" windowHeight="874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fullCalcOnLoad="1"/>
</workbook>
</file>

<file path=xl/sharedStrings.xml><?xml version="1.0" encoding="utf-8"?>
<sst xmlns="http://schemas.openxmlformats.org/spreadsheetml/2006/main" count="944" uniqueCount="458">
  <si>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</si>
  <si>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</si>
  <si>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</si>
  <si>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</si>
  <si>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</si>
  <si>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</si>
  <si>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</si>
  <si>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</si>
  <si>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</si>
  <si>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</si>
  <si>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</si>
  <si>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</si>
  <si>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</si>
  <si>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</si>
  <si>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</si>
  <si>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</si>
  <si>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</si>
  <si>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</si>
  <si>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</si>
  <si>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</si>
  <si>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</si>
  <si>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</si>
  <si>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</si>
  <si>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</si>
  <si>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</si>
  <si>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</si>
  <si>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</si>
  <si>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</si>
  <si>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</si>
  <si>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</si>
  <si>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</si>
  <si>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</si>
  <si>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</si>
  <si>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</si>
  <si>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</si>
  <si>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</si>
  <si>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</si>
  <si>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</si>
  <si>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</si>
  <si>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</si>
  <si>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</si>
  <si>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</si>
  <si>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</si>
  <si>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</si>
  <si>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</si>
  <si>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</si>
  <si>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</si>
  <si>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</si>
  <si>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</si>
  <si>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</si>
  <si>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</si>
  <si>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</si>
  <si>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</si>
  <si>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</si>
  <si>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</si>
  <si>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</si>
  <si>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</si>
  <si>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</si>
  <si>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</si>
  <si>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</si>
  <si>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</si>
  <si>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</si>
  <si>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</si>
  <si>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</si>
  <si>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</si>
  <si>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</si>
  <si>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</si>
  <si>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</si>
  <si>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</si>
  <si>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</si>
  <si>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</si>
  <si>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</si>
  <si>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</si>
  <si>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</si>
  <si>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</si>
  <si>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</si>
  <si>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</si>
  <si>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</si>
  <si>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</si>
  <si>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</si>
  <si>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</si>
  <si>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</si>
  <si>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</si>
  <si>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</si>
  <si>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</si>
  <si>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</si>
  <si>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</si>
  <si>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</si>
  <si>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</si>
  <si>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</si>
  <si>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</si>
  <si>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</si>
  <si>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</si>
  <si>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</si>
  <si>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</si>
  <si>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</si>
  <si>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</si>
  <si>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</si>
  <si>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</si>
  <si>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</si>
  <si>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</si>
  <si>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</si>
  <si>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</si>
  <si>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</si>
  <si>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</si>
  <si>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</si>
  <si>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</si>
  <si>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</si>
  <si>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</si>
  <si>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</si>
  <si>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</si>
  <si>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</si>
  <si>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</si>
  <si>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</si>
  <si>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</si>
  <si>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</si>
  <si>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</si>
  <si>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</si>
  <si>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</si>
  <si>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</si>
  <si>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</si>
  <si>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</si>
  <si>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</si>
  <si>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</si>
  <si>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</si>
  <si>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</si>
  <si>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</si>
  <si>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</si>
  <si>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</si>
  <si>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</si>
  <si>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</si>
  <si>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</si>
  <si>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</si>
  <si>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</si>
  <si>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</si>
  <si>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</si>
  <si>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</si>
  <si>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</si>
  <si>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</si>
  <si>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</si>
  <si>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</si>
  <si>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</si>
  <si>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</si>
  <si>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</si>
  <si>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</si>
  <si>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</si>
  <si>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</si>
  <si>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</si>
  <si>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</si>
  <si>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</si>
  <si>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</si>
  <si>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</si>
  <si>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</si>
  <si>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</si>
  <si>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</si>
  <si>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</si>
  <si>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</si>
  <si>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</si>
  <si>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</si>
  <si>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</si>
  <si>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</si>
  <si>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</si>
  <si>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</si>
  <si>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</si>
  <si>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</si>
  <si>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</si>
  <si>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</si>
  <si>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</si>
  <si>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</si>
  <si>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</si>
  <si>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</si>
  <si>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</si>
  <si>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</si>
  <si>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</si>
  <si>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</si>
  <si>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</si>
  <si>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</si>
  <si>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</si>
  <si>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</si>
  <si>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</si>
  <si>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</si>
  <si>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</si>
  <si>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</si>
  <si>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</si>
  <si>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</si>
  <si>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</si>
  <si>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</si>
  <si>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</si>
  <si>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</si>
  <si>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</si>
  <si>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</si>
  <si>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</si>
  <si>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</si>
  <si>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</si>
  <si>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</si>
  <si>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</si>
  <si>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</si>
  <si>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</si>
  <si>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</si>
  <si>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</si>
  <si>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</si>
  <si>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</si>
  <si>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</si>
  <si>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</si>
  <si>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</si>
  <si>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</si>
  <si>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</si>
  <si>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</si>
  <si>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</si>
  <si>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</si>
  <si>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</si>
  <si>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</si>
  <si>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</si>
  <si>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</si>
  <si>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</si>
  <si>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</si>
  <si>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</si>
  <si>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</si>
  <si>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</si>
  <si>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</si>
  <si>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</si>
  <si>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</si>
  <si>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</si>
  <si>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</si>
  <si>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</si>
  <si>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</si>
  <si>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</si>
  <si>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</si>
  <si>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</si>
  <si>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</si>
  <si>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</si>
  <si>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</si>
  <si>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</si>
  <si>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</si>
  <si>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</si>
  <si>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</si>
  <si>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</si>
  <si>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</si>
  <si>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</si>
  <si>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</si>
  <si>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</si>
  <si>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</si>
  <si>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</si>
  <si>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</si>
  <si>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</si>
  <si>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</si>
  <si>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</si>
  <si>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</si>
  <si>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</si>
  <si>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</si>
  <si>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</si>
  <si>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</si>
  <si>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</si>
  <si>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</si>
  <si>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</si>
  <si>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</si>
  <si>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</si>
  <si>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</si>
  <si>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</si>
  <si>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</si>
  <si>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</si>
  <si>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</si>
  <si>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</si>
  <si>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</si>
  <si>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</si>
  <si>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</si>
  <si>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</si>
  <si>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</si>
  <si>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</si>
  <si>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</si>
  <si>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</si>
  <si>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</si>
  <si>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</si>
  <si>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</si>
  <si>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</si>
  <si>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</si>
  <si>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</si>
  <si>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</si>
  <si>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</si>
  <si>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</si>
  <si>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</si>
  <si>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</si>
  <si>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</si>
  <si>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</si>
  <si>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</si>
  <si>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</si>
  <si>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</si>
  <si>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</si>
  <si>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</si>
  <si>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</si>
  <si>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</si>
  <si>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</si>
  <si>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</si>
  <si>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</si>
  <si>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</si>
  <si>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</si>
  <si>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</si>
  <si>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</si>
  <si>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</si>
  <si>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</si>
  <si>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</si>
  <si>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</si>
  <si>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</si>
  <si>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</si>
  <si>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</si>
  <si>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</si>
  <si>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</si>
  <si>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</si>
  <si>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</si>
  <si>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</si>
  <si>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</si>
  <si>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</si>
  <si>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</si>
  <si>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</si>
  <si>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</si>
  <si>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</si>
  <si>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</si>
  <si>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</si>
  <si>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</si>
  <si>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</si>
  <si>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</si>
  <si>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</si>
  <si>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</si>
  <si>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</si>
  <si>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</si>
  <si>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</si>
  <si>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</si>
  <si>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</si>
  <si>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</si>
  <si>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</si>
  <si>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</si>
  <si>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</si>
  <si>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</si>
  <si>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</si>
  <si>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</si>
  <si>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</si>
  <si>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</si>
  <si>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</si>
  <si>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</si>
  <si>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</si>
  <si>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</si>
  <si>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</si>
  <si>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</si>
  <si>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</si>
  <si>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</si>
  <si>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</si>
  <si>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</si>
  <si>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</si>
  <si>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</si>
  <si>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</si>
  <si>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</si>
  <si>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</si>
  <si>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</si>
  <si>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</si>
  <si>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</si>
  <si>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</si>
  <si>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</si>
  <si>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</si>
  <si>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</si>
  <si>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</si>
  <si>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</si>
  <si>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</si>
  <si>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</si>
  <si>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</si>
  <si>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</si>
  <si>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</si>
  <si>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</si>
  <si>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>20.12.2022  19.19</t>
  </si>
  <si>
    <t>20.12.2022  18.28</t>
  </si>
  <si>
    <t>20.12.2022  18.29</t>
  </si>
  <si>
    <t>20.12.2022  13.28</t>
  </si>
  <si>
    <t>20.12.2022  04.29</t>
  </si>
  <si>
    <t>20.12.2022  18.59</t>
  </si>
  <si>
    <t>20.12.2022 18.29</t>
  </si>
  <si>
    <t>20.12.2022  12.59</t>
  </si>
  <si>
    <t>20.12.2022  23.45</t>
  </si>
  <si>
    <t>20.12.2022  06,41</t>
  </si>
  <si>
    <t>20.12.2022  15.44</t>
  </si>
  <si>
    <t>20.12.2022  11.30</t>
  </si>
  <si>
    <t>20.12.2022  15.23</t>
  </si>
  <si>
    <t>20.12.2022  14.53</t>
  </si>
  <si>
    <t>20.12.2022  10.49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</si>
  <si>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</si>
  <si>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</si>
  <si>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</si>
  <si>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</si>
  <si>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</si>
  <si>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</si>
  <si>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</si>
  <si>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</si>
  <si>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</si>
  <si>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</si>
  <si>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</si>
  <si>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</si>
  <si>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</si>
  <si>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</si>
  <si>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</si>
  <si>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</si>
  <si>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</si>
  <si>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</si>
  <si>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</si>
  <si>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</si>
  <si>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</si>
  <si>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</si>
  <si>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</si>
  <si>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</si>
  <si>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</si>
  <si>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</si>
  <si>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</si>
  <si>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</si>
  <si>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</si>
  <si>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</si>
  <si>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</si>
  <si>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</si>
  <si>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</si>
  <si>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</si>
  <si>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</si>
  <si>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</si>
  <si>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</si>
  <si>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</si>
  <si>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</si>
  <si>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</si>
  <si>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</si>
  <si>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</si>
  <si>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</si>
  <si>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</si>
  <si>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</si>
  <si>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</si>
  <si>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</si>
  <si>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</si>
  <si>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</si>
  <si>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</si>
  <si>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</si>
  <si>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</si>
  <si>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</si>
  <si>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</si>
  <si>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</si>
  <si>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</si>
  <si>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</si>
  <si>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</si>
  <si>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</si>
  <si>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</si>
  <si>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</si>
  <si>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</si>
  <si>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</si>
  <si>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</si>
  <si>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</si>
  <si>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</si>
  <si>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</si>
  <si>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 xml:space="preserve">по состоянию на 01.10.2023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</si>
  <si>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01.10.2023г.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</si>
  <si>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01.10.2023г.</t>
  </si>
  <si>
    <t>КТПН-131А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</si>
  <si>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</si>
  <si>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>по состоянию на 01.10.2023 г.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</si>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</sst>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3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5" borderId="2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6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 vertical="center" wrapText="1"/>
    </xf>
    <xf numFmtId="2" fontId="6" fillId="37" borderId="18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4" borderId="48" xfId="0" applyFont="1" applyFill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188" fontId="56" fillId="36" borderId="22" xfId="0" applyNumberFormat="1" applyFont="1" applyFill="1" applyBorder="1" applyAlignment="1">
      <alignment horizontal="center" vertical="center" wrapText="1"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1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6" fillId="34" borderId="5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1" xfId="52" applyFont="1" applyBorder="1" applyAlignment="1">
      <alignment horizontal="center" vertical="center"/>
      <protection/>
    </xf>
    <xf numFmtId="0" fontId="63" fillId="0" borderId="5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4" fontId="64" fillId="0" borderId="24" xfId="0" applyNumberFormat="1" applyFont="1" applyBorder="1" applyAlignment="1">
      <alignment horizontal="center" vertical="center" wrapText="1"/>
    </xf>
    <xf numFmtId="14" fontId="64" fillId="0" borderId="25" xfId="0" applyNumberFormat="1" applyFont="1" applyBorder="1" applyAlignment="1">
      <alignment horizontal="center" vertical="center" wrapText="1"/>
    </xf>
    <xf numFmtId="0" fontId="57" fillId="33" borderId="24" xfId="0" applyFont="1" applyFill="1" applyBorder="1" applyAlignment="1">
      <alignment vertical="center" wrapText="1"/>
    </xf>
    <xf numFmtId="0" fontId="57" fillId="33" borderId="25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" sqref="H4:H5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20" t="s">
        <v>336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23" t="s">
        <v>449</v>
      </c>
      <c r="B3" s="123"/>
      <c r="C3" s="123"/>
      <c r="D3" s="123"/>
      <c r="E3" s="123"/>
      <c r="F3" s="123"/>
      <c r="G3" s="123"/>
      <c r="H3" s="123"/>
      <c r="I3" s="123"/>
    </row>
    <row r="4" spans="1:14" ht="12.75" customHeight="1">
      <c r="A4" s="126" t="s">
        <v>86</v>
      </c>
      <c r="B4" s="128" t="s">
        <v>71</v>
      </c>
      <c r="C4" s="129"/>
      <c r="D4" s="131" t="s">
        <v>64</v>
      </c>
      <c r="E4" s="131" t="s">
        <v>79</v>
      </c>
      <c r="F4" s="121" t="s">
        <v>314</v>
      </c>
      <c r="G4" s="141" t="s">
        <v>83</v>
      </c>
      <c r="H4" s="121" t="s">
        <v>80</v>
      </c>
      <c r="I4" s="121" t="s">
        <v>88</v>
      </c>
      <c r="J4" s="143" t="s">
        <v>87</v>
      </c>
      <c r="K4" s="145"/>
      <c r="L4" s="11"/>
      <c r="M4" s="11"/>
      <c r="N4" s="135"/>
    </row>
    <row r="5" spans="1:14" ht="71.25" customHeight="1" thickBot="1">
      <c r="A5" s="127"/>
      <c r="B5" s="130"/>
      <c r="C5" s="130"/>
      <c r="D5" s="132"/>
      <c r="E5" s="132"/>
      <c r="F5" s="122"/>
      <c r="G5" s="142"/>
      <c r="H5" s="122"/>
      <c r="I5" s="122"/>
      <c r="J5" s="144"/>
      <c r="K5" s="145"/>
      <c r="L5" s="11"/>
      <c r="M5" s="11"/>
      <c r="N5" s="135"/>
    </row>
    <row r="6" spans="1:11" s="6" customFormat="1" ht="18.75" customHeight="1">
      <c r="A6" s="133" t="s">
        <v>0</v>
      </c>
      <c r="B6" s="128" t="s">
        <v>96</v>
      </c>
      <c r="C6" s="128"/>
      <c r="D6" s="12" t="s">
        <v>58</v>
      </c>
      <c r="E6" s="13">
        <v>10</v>
      </c>
      <c r="F6" s="24">
        <v>4.063</v>
      </c>
      <c r="G6" s="24">
        <v>0.216</v>
      </c>
      <c r="H6" s="14">
        <v>5.721</v>
      </c>
      <c r="I6" s="137" t="s">
        <v>84</v>
      </c>
      <c r="J6" s="139">
        <f>'[1]Лист3'!N7</f>
        <v>44137.791666666664</v>
      </c>
      <c r="K6" s="16"/>
    </row>
    <row r="7" spans="1:11" ht="18.75" customHeight="1" thickBot="1">
      <c r="A7" s="134"/>
      <c r="B7" s="136"/>
      <c r="C7" s="136"/>
      <c r="D7" s="17" t="s">
        <v>63</v>
      </c>
      <c r="E7" s="18">
        <v>1.4</v>
      </c>
      <c r="F7" s="102">
        <v>0.022</v>
      </c>
      <c r="G7" s="102">
        <v>0.039</v>
      </c>
      <c r="H7" s="20">
        <v>1.339</v>
      </c>
      <c r="I7" s="138"/>
      <c r="J7" s="140"/>
      <c r="K7" s="16"/>
    </row>
    <row r="8" spans="1:11" s="6" customFormat="1" ht="18.75" customHeight="1">
      <c r="A8" s="133" t="s">
        <v>1</v>
      </c>
      <c r="B8" s="128" t="s">
        <v>97</v>
      </c>
      <c r="C8" s="128"/>
      <c r="D8" s="12" t="s">
        <v>58</v>
      </c>
      <c r="E8" s="21">
        <v>10</v>
      </c>
      <c r="F8" s="14">
        <v>2.854</v>
      </c>
      <c r="G8" s="14">
        <v>0.722</v>
      </c>
      <c r="H8" s="14">
        <v>6.4239999999999995</v>
      </c>
      <c r="I8" s="137" t="s">
        <v>72</v>
      </c>
      <c r="J8" s="139">
        <v>44224.458333333336</v>
      </c>
      <c r="K8" s="16"/>
    </row>
    <row r="9" spans="1:11" ht="18.75" customHeight="1" thickBot="1">
      <c r="A9" s="134"/>
      <c r="B9" s="136"/>
      <c r="C9" s="136"/>
      <c r="D9" s="17" t="s">
        <v>63</v>
      </c>
      <c r="E9" s="18">
        <v>0.56</v>
      </c>
      <c r="F9" s="102">
        <v>0.438</v>
      </c>
      <c r="G9" s="102">
        <v>0.005</v>
      </c>
      <c r="H9" s="20">
        <v>0.11700000000000005</v>
      </c>
      <c r="I9" s="138"/>
      <c r="J9" s="140"/>
      <c r="K9" s="16"/>
    </row>
    <row r="10" spans="1:11" s="6" customFormat="1" ht="18.75" customHeight="1">
      <c r="A10" s="146" t="s">
        <v>2</v>
      </c>
      <c r="B10" s="147" t="s">
        <v>98</v>
      </c>
      <c r="C10" s="147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37" t="s">
        <v>75</v>
      </c>
      <c r="J10" s="139">
        <v>44221.791666666664</v>
      </c>
      <c r="K10" s="16"/>
    </row>
    <row r="11" spans="1:12" ht="18.75" customHeight="1" thickBot="1">
      <c r="A11" s="134"/>
      <c r="B11" s="136"/>
      <c r="C11" s="136"/>
      <c r="D11" s="17" t="s">
        <v>63</v>
      </c>
      <c r="E11" s="18">
        <v>0.882</v>
      </c>
      <c r="F11" s="102">
        <v>0.461</v>
      </c>
      <c r="G11" s="102">
        <v>1.425</v>
      </c>
      <c r="H11" s="20">
        <v>0</v>
      </c>
      <c r="I11" s="138"/>
      <c r="J11" s="140"/>
      <c r="K11" s="16"/>
      <c r="L11" s="25"/>
    </row>
    <row r="12" spans="1:11" s="28" customFormat="1" ht="18.75" customHeight="1">
      <c r="A12" s="133" t="s">
        <v>3</v>
      </c>
      <c r="B12" s="128" t="s">
        <v>99</v>
      </c>
      <c r="C12" s="128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37" t="s">
        <v>82</v>
      </c>
      <c r="J12" s="139">
        <v>43808.625</v>
      </c>
      <c r="K12" s="16"/>
    </row>
    <row r="13" spans="1:11" ht="18.75" customHeight="1" thickBot="1">
      <c r="A13" s="134"/>
      <c r="B13" s="136"/>
      <c r="C13" s="136"/>
      <c r="D13" s="17" t="s">
        <v>63</v>
      </c>
      <c r="E13" s="18">
        <v>1.4</v>
      </c>
      <c r="F13" s="102">
        <v>0.273</v>
      </c>
      <c r="G13" s="102">
        <v>0</v>
      </c>
      <c r="H13" s="20">
        <v>1.1269999999999998</v>
      </c>
      <c r="I13" s="138"/>
      <c r="J13" s="140"/>
      <c r="K13" s="16"/>
    </row>
    <row r="14" spans="1:11" s="28" customFormat="1" ht="18.75" customHeight="1">
      <c r="A14" s="146" t="s">
        <v>4</v>
      </c>
      <c r="B14" s="148" t="s">
        <v>100</v>
      </c>
      <c r="C14" s="147"/>
      <c r="D14" s="29" t="s">
        <v>58</v>
      </c>
      <c r="E14" s="30">
        <v>10</v>
      </c>
      <c r="F14" s="24">
        <v>5.962</v>
      </c>
      <c r="G14" s="24">
        <v>2.2709999999999995</v>
      </c>
      <c r="H14" s="24">
        <v>1.7670000000000008</v>
      </c>
      <c r="I14" s="137" t="s">
        <v>30</v>
      </c>
      <c r="J14" s="139">
        <v>44458.875</v>
      </c>
      <c r="K14" s="16"/>
    </row>
    <row r="15" spans="1:11" ht="18.75" customHeight="1" thickBot="1">
      <c r="A15" s="134"/>
      <c r="B15" s="136"/>
      <c r="C15" s="136"/>
      <c r="D15" s="17" t="s">
        <v>63</v>
      </c>
      <c r="E15" s="18">
        <v>1.4</v>
      </c>
      <c r="F15" s="102">
        <v>0.156</v>
      </c>
      <c r="G15" s="102">
        <v>0</v>
      </c>
      <c r="H15" s="20">
        <v>1.244</v>
      </c>
      <c r="I15" s="138"/>
      <c r="J15" s="140"/>
      <c r="K15" s="16"/>
    </row>
    <row r="16" spans="1:13" s="28" customFormat="1" ht="18.75" customHeight="1">
      <c r="A16" s="133" t="s">
        <v>5</v>
      </c>
      <c r="B16" s="128" t="s">
        <v>101</v>
      </c>
      <c r="C16" s="128"/>
      <c r="D16" s="26" t="s">
        <v>58</v>
      </c>
      <c r="E16" s="27">
        <v>10</v>
      </c>
      <c r="F16" s="24">
        <v>3.926</v>
      </c>
      <c r="G16" s="24">
        <v>0.2</v>
      </c>
      <c r="H16" s="14">
        <v>5.874</v>
      </c>
      <c r="I16" s="137" t="s">
        <v>31</v>
      </c>
      <c r="J16" s="139">
        <f>'[1]Лист3'!N17</f>
        <v>43986.791666666664</v>
      </c>
      <c r="K16" s="16"/>
      <c r="L16" s="151"/>
      <c r="M16" s="151"/>
    </row>
    <row r="17" spans="1:13" ht="18.75" customHeight="1" thickBot="1">
      <c r="A17" s="149"/>
      <c r="B17" s="150"/>
      <c r="C17" s="150"/>
      <c r="D17" s="31" t="s">
        <v>63</v>
      </c>
      <c r="E17" s="32">
        <v>0.882</v>
      </c>
      <c r="F17" s="103">
        <v>0.28</v>
      </c>
      <c r="G17" s="103">
        <v>0</v>
      </c>
      <c r="H17" s="33">
        <v>0.602</v>
      </c>
      <c r="I17" s="138"/>
      <c r="J17" s="140"/>
      <c r="K17" s="16"/>
      <c r="L17" s="151"/>
      <c r="M17" s="151"/>
    </row>
    <row r="18" spans="1:12" s="28" customFormat="1" ht="18.75" customHeight="1">
      <c r="A18" s="133" t="s">
        <v>6</v>
      </c>
      <c r="B18" s="128" t="s">
        <v>102</v>
      </c>
      <c r="C18" s="128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37" t="s">
        <v>32</v>
      </c>
      <c r="J18" s="139">
        <v>44235.875</v>
      </c>
      <c r="K18" s="16"/>
      <c r="L18" s="34"/>
    </row>
    <row r="19" spans="1:11" ht="18.75" customHeight="1" thickBot="1">
      <c r="A19" s="134"/>
      <c r="B19" s="136"/>
      <c r="C19" s="136"/>
      <c r="D19" s="17" t="s">
        <v>63</v>
      </c>
      <c r="E19" s="18">
        <v>1.4</v>
      </c>
      <c r="F19" s="102">
        <v>0.19</v>
      </c>
      <c r="G19" s="102">
        <v>0</v>
      </c>
      <c r="H19" s="20">
        <v>1.21</v>
      </c>
      <c r="I19" s="138"/>
      <c r="J19" s="140"/>
      <c r="K19" s="16"/>
    </row>
    <row r="20" spans="1:12" s="28" customFormat="1" ht="18.75" customHeight="1">
      <c r="A20" s="133" t="s">
        <v>7</v>
      </c>
      <c r="B20" s="152" t="s">
        <v>103</v>
      </c>
      <c r="C20" s="152"/>
      <c r="D20" s="26" t="s">
        <v>58</v>
      </c>
      <c r="E20" s="35">
        <v>10</v>
      </c>
      <c r="F20" s="14">
        <v>4.992</v>
      </c>
      <c r="G20" s="14">
        <v>2.2319999999999998</v>
      </c>
      <c r="H20" s="14">
        <v>2.7760000000000002</v>
      </c>
      <c r="I20" s="137" t="s">
        <v>33</v>
      </c>
      <c r="J20" s="139">
        <v>44468.875</v>
      </c>
      <c r="K20" s="16"/>
      <c r="L20" s="34"/>
    </row>
    <row r="21" spans="1:14" ht="18.75" customHeight="1" thickBot="1">
      <c r="A21" s="134"/>
      <c r="B21" s="153"/>
      <c r="C21" s="153"/>
      <c r="D21" s="17" t="s">
        <v>63</v>
      </c>
      <c r="E21" s="18">
        <v>1.4</v>
      </c>
      <c r="F21" s="102">
        <v>0.318</v>
      </c>
      <c r="G21" s="102">
        <v>0.24599999999999994</v>
      </c>
      <c r="H21" s="20">
        <v>0.8359999999999999</v>
      </c>
      <c r="I21" s="138"/>
      <c r="J21" s="140"/>
      <c r="K21" s="16"/>
      <c r="L21" s="36"/>
      <c r="M21" s="36"/>
      <c r="N21" s="36"/>
    </row>
    <row r="22" spans="1:16" s="28" customFormat="1" ht="18.75" customHeight="1">
      <c r="A22" s="133" t="s">
        <v>8</v>
      </c>
      <c r="B22" s="128" t="s">
        <v>104</v>
      </c>
      <c r="C22" s="128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37" t="s">
        <v>34</v>
      </c>
      <c r="J22" s="139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4"/>
      <c r="B23" s="136"/>
      <c r="C23" s="136"/>
      <c r="D23" s="17" t="s">
        <v>63</v>
      </c>
      <c r="E23" s="18">
        <v>1.4</v>
      </c>
      <c r="F23" s="103">
        <v>0.327</v>
      </c>
      <c r="G23" s="103">
        <v>0.15</v>
      </c>
      <c r="H23" s="20">
        <v>0.9229999999999999</v>
      </c>
      <c r="I23" s="138"/>
      <c r="J23" s="140"/>
      <c r="K23" s="16"/>
      <c r="L23" s="36"/>
      <c r="M23" s="36"/>
      <c r="N23" s="36"/>
      <c r="O23" s="39"/>
      <c r="P23" s="39"/>
    </row>
    <row r="24" spans="1:14" s="28" customFormat="1" ht="18.75" customHeight="1">
      <c r="A24" s="133" t="s">
        <v>9</v>
      </c>
      <c r="B24" s="128" t="s">
        <v>105</v>
      </c>
      <c r="C24" s="128"/>
      <c r="D24" s="26" t="s">
        <v>58</v>
      </c>
      <c r="E24" s="35">
        <v>10</v>
      </c>
      <c r="F24" s="14">
        <v>6.396</v>
      </c>
      <c r="G24" s="14">
        <v>2.2039999999999997</v>
      </c>
      <c r="H24" s="14">
        <v>1.4000000000000004</v>
      </c>
      <c r="I24" s="137" t="s">
        <v>35</v>
      </c>
      <c r="J24" s="139">
        <f>'[1]Лист3'!N25</f>
        <v>44195</v>
      </c>
      <c r="K24" s="16"/>
      <c r="L24" s="37"/>
      <c r="M24" s="37"/>
      <c r="N24" s="37"/>
    </row>
    <row r="25" spans="1:14" ht="18.75" customHeight="1" thickBot="1">
      <c r="A25" s="134"/>
      <c r="B25" s="136"/>
      <c r="C25" s="136"/>
      <c r="D25" s="17" t="s">
        <v>63</v>
      </c>
      <c r="E25" s="18">
        <v>0.882</v>
      </c>
      <c r="F25" s="102">
        <v>0.139</v>
      </c>
      <c r="G25" s="102">
        <v>0</v>
      </c>
      <c r="H25" s="20">
        <v>0.743</v>
      </c>
      <c r="I25" s="138"/>
      <c r="J25" s="140"/>
      <c r="K25" s="16"/>
      <c r="L25" s="36"/>
      <c r="M25" s="36"/>
      <c r="N25" s="36"/>
    </row>
    <row r="26" spans="1:11" s="28" customFormat="1" ht="18.75" customHeight="1">
      <c r="A26" s="133" t="s">
        <v>10</v>
      </c>
      <c r="B26" s="128" t="s">
        <v>146</v>
      </c>
      <c r="C26" s="128"/>
      <c r="D26" s="26" t="s">
        <v>58</v>
      </c>
      <c r="E26" s="35">
        <v>10</v>
      </c>
      <c r="F26" s="14">
        <v>2.405</v>
      </c>
      <c r="G26" s="14">
        <v>0.40490000000000004</v>
      </c>
      <c r="H26" s="14">
        <v>7.190100000000001</v>
      </c>
      <c r="I26" s="137" t="s">
        <v>36</v>
      </c>
      <c r="J26" s="139">
        <v>44560.833333333336</v>
      </c>
      <c r="K26" s="16"/>
    </row>
    <row r="27" spans="1:11" ht="18.75" customHeight="1" thickBot="1">
      <c r="A27" s="134"/>
      <c r="B27" s="136"/>
      <c r="C27" s="136"/>
      <c r="D27" s="17" t="s">
        <v>63</v>
      </c>
      <c r="E27" s="18">
        <v>0.882</v>
      </c>
      <c r="F27" s="102">
        <v>0.219</v>
      </c>
      <c r="G27" s="102">
        <v>0.0005999999999999339</v>
      </c>
      <c r="H27" s="20">
        <v>0.6624000000000001</v>
      </c>
      <c r="I27" s="138"/>
      <c r="J27" s="140"/>
      <c r="K27" s="68"/>
    </row>
    <row r="28" spans="1:11" s="28" customFormat="1" ht="18.75" customHeight="1">
      <c r="A28" s="133" t="s">
        <v>11</v>
      </c>
      <c r="B28" s="128" t="s">
        <v>106</v>
      </c>
      <c r="C28" s="128"/>
      <c r="D28" s="26" t="s">
        <v>58</v>
      </c>
      <c r="E28" s="35">
        <v>10</v>
      </c>
      <c r="F28" s="14">
        <v>5.136</v>
      </c>
      <c r="G28" s="14">
        <v>2.6409000000000002</v>
      </c>
      <c r="H28" s="14">
        <v>2.2230999999999996</v>
      </c>
      <c r="I28" s="137" t="s">
        <v>37</v>
      </c>
      <c r="J28" s="139">
        <v>44544.791666666664</v>
      </c>
      <c r="K28" s="16"/>
    </row>
    <row r="29" spans="1:11" ht="18.75" customHeight="1" thickBot="1">
      <c r="A29" s="134"/>
      <c r="B29" s="136"/>
      <c r="C29" s="136"/>
      <c r="D29" s="17" t="s">
        <v>63</v>
      </c>
      <c r="E29" s="18">
        <v>0.882</v>
      </c>
      <c r="F29" s="102">
        <v>0.373</v>
      </c>
      <c r="G29" s="102">
        <v>0</v>
      </c>
      <c r="H29" s="20">
        <v>0.509</v>
      </c>
      <c r="I29" s="138"/>
      <c r="J29" s="140"/>
      <c r="K29" s="16"/>
    </row>
    <row r="30" spans="1:11" s="28" customFormat="1" ht="18.75" customHeight="1">
      <c r="A30" s="146" t="s">
        <v>12</v>
      </c>
      <c r="B30" s="147" t="s">
        <v>107</v>
      </c>
      <c r="C30" s="147"/>
      <c r="D30" s="29" t="s">
        <v>58</v>
      </c>
      <c r="E30" s="40">
        <v>10</v>
      </c>
      <c r="F30" s="24">
        <v>6.326</v>
      </c>
      <c r="G30" s="24">
        <v>2.04</v>
      </c>
      <c r="H30" s="24">
        <v>1.6340000000000003</v>
      </c>
      <c r="I30" s="137" t="s">
        <v>38</v>
      </c>
      <c r="J30" s="139">
        <f>'[1]Лист3'!N31</f>
        <v>44151.791666666664</v>
      </c>
      <c r="K30" s="16"/>
    </row>
    <row r="31" spans="1:11" ht="18.75" customHeight="1" thickBot="1">
      <c r="A31" s="134"/>
      <c r="B31" s="136"/>
      <c r="C31" s="136"/>
      <c r="D31" s="17" t="s">
        <v>63</v>
      </c>
      <c r="E31" s="18">
        <v>0.882</v>
      </c>
      <c r="F31" s="102">
        <v>0.472</v>
      </c>
      <c r="G31" s="102">
        <v>0.25</v>
      </c>
      <c r="H31" s="20">
        <v>0.16000000000000003</v>
      </c>
      <c r="I31" s="138"/>
      <c r="J31" s="140"/>
      <c r="K31" s="16"/>
    </row>
    <row r="32" spans="1:11" s="28" customFormat="1" ht="18.75" customHeight="1">
      <c r="A32" s="133" t="s">
        <v>13</v>
      </c>
      <c r="B32" s="128" t="s">
        <v>108</v>
      </c>
      <c r="C32" s="128"/>
      <c r="D32" s="26" t="s">
        <v>58</v>
      </c>
      <c r="E32" s="35">
        <v>10</v>
      </c>
      <c r="F32" s="14">
        <v>7.855</v>
      </c>
      <c r="G32" s="14">
        <v>3.26</v>
      </c>
      <c r="H32" s="14">
        <v>0</v>
      </c>
      <c r="I32" s="137" t="s">
        <v>73</v>
      </c>
      <c r="J32" s="139">
        <v>44151.791666666664</v>
      </c>
      <c r="K32" s="16"/>
    </row>
    <row r="33" spans="1:11" ht="18.75" customHeight="1" thickBot="1">
      <c r="A33" s="134"/>
      <c r="B33" s="136"/>
      <c r="C33" s="136"/>
      <c r="D33" s="17" t="s">
        <v>63</v>
      </c>
      <c r="E33" s="18">
        <v>1.4</v>
      </c>
      <c r="F33" s="102">
        <v>0.424</v>
      </c>
      <c r="G33" s="102">
        <v>0</v>
      </c>
      <c r="H33" s="20">
        <v>0.976</v>
      </c>
      <c r="I33" s="138"/>
      <c r="J33" s="140"/>
      <c r="K33" s="16"/>
    </row>
    <row r="34" spans="1:11" s="28" customFormat="1" ht="18.75" customHeight="1">
      <c r="A34" s="133" t="s">
        <v>14</v>
      </c>
      <c r="B34" s="128" t="s">
        <v>109</v>
      </c>
      <c r="C34" s="128"/>
      <c r="D34" s="26" t="s">
        <v>58</v>
      </c>
      <c r="E34" s="35">
        <v>10</v>
      </c>
      <c r="F34" s="14">
        <v>3.671</v>
      </c>
      <c r="G34" s="14">
        <v>0.031000000000000007</v>
      </c>
      <c r="H34" s="14">
        <v>6.298000000000001</v>
      </c>
      <c r="I34" s="137" t="s">
        <v>39</v>
      </c>
      <c r="J34" s="139">
        <v>44217.791666666664</v>
      </c>
      <c r="K34" s="16"/>
    </row>
    <row r="35" spans="1:11" ht="18.75" customHeight="1" thickBot="1">
      <c r="A35" s="134"/>
      <c r="B35" s="136"/>
      <c r="C35" s="136"/>
      <c r="D35" s="17" t="s">
        <v>63</v>
      </c>
      <c r="E35" s="18">
        <v>0.882</v>
      </c>
      <c r="F35" s="102">
        <v>0.421</v>
      </c>
      <c r="G35" s="102">
        <v>0</v>
      </c>
      <c r="H35" s="20">
        <v>0.461</v>
      </c>
      <c r="I35" s="138"/>
      <c r="J35" s="140"/>
      <c r="K35" s="16"/>
    </row>
    <row r="36" spans="1:11" s="28" customFormat="1" ht="18.75" customHeight="1">
      <c r="A36" s="133" t="s">
        <v>15</v>
      </c>
      <c r="B36" s="128" t="s">
        <v>147</v>
      </c>
      <c r="C36" s="128"/>
      <c r="D36" s="26" t="s">
        <v>58</v>
      </c>
      <c r="E36" s="35">
        <v>10</v>
      </c>
      <c r="F36" s="14">
        <v>6.074</v>
      </c>
      <c r="G36" s="14">
        <v>1.8510000000000002</v>
      </c>
      <c r="H36" s="14">
        <v>2.075</v>
      </c>
      <c r="I36" s="137" t="s">
        <v>74</v>
      </c>
      <c r="J36" s="139">
        <f>'[1]Лист3'!N37</f>
        <v>44168.625</v>
      </c>
      <c r="K36" s="16"/>
    </row>
    <row r="37" spans="1:11" ht="18.75" customHeight="1" thickBot="1">
      <c r="A37" s="134"/>
      <c r="B37" s="136"/>
      <c r="C37" s="136"/>
      <c r="D37" s="17" t="s">
        <v>63</v>
      </c>
      <c r="E37" s="18">
        <v>1.764</v>
      </c>
      <c r="F37" s="102">
        <v>1</v>
      </c>
      <c r="G37" s="102">
        <v>0</v>
      </c>
      <c r="H37" s="20">
        <v>0.764</v>
      </c>
      <c r="I37" s="138"/>
      <c r="J37" s="140"/>
      <c r="K37" s="16"/>
    </row>
    <row r="38" spans="1:11" s="28" customFormat="1" ht="18.75" customHeight="1">
      <c r="A38" s="146" t="s">
        <v>16</v>
      </c>
      <c r="B38" s="147" t="s">
        <v>110</v>
      </c>
      <c r="C38" s="147"/>
      <c r="D38" s="29" t="s">
        <v>58</v>
      </c>
      <c r="E38" s="40">
        <v>10</v>
      </c>
      <c r="F38" s="24">
        <v>2.742</v>
      </c>
      <c r="G38" s="24">
        <v>1.422</v>
      </c>
      <c r="H38" s="24">
        <v>5.836</v>
      </c>
      <c r="I38" s="137" t="s">
        <v>76</v>
      </c>
      <c r="J38" s="139">
        <f>'[1]Лист3'!N39</f>
        <v>44193.708333333336</v>
      </c>
      <c r="K38" s="16"/>
    </row>
    <row r="39" spans="1:11" ht="18.75" customHeight="1" thickBot="1">
      <c r="A39" s="134"/>
      <c r="B39" s="136"/>
      <c r="C39" s="136"/>
      <c r="D39" s="17" t="s">
        <v>63</v>
      </c>
      <c r="E39" s="18">
        <v>0.882</v>
      </c>
      <c r="F39" s="102">
        <v>0.94</v>
      </c>
      <c r="G39" s="102">
        <v>0</v>
      </c>
      <c r="H39" s="20">
        <v>0</v>
      </c>
      <c r="I39" s="138"/>
      <c r="J39" s="140"/>
      <c r="K39" s="16"/>
    </row>
    <row r="40" spans="1:11" s="28" customFormat="1" ht="18.75" customHeight="1">
      <c r="A40" s="133" t="s">
        <v>17</v>
      </c>
      <c r="B40" s="152" t="s">
        <v>111</v>
      </c>
      <c r="C40" s="152"/>
      <c r="D40" s="26" t="s">
        <v>58</v>
      </c>
      <c r="E40" s="35">
        <v>10</v>
      </c>
      <c r="F40" s="14">
        <v>3.642</v>
      </c>
      <c r="G40" s="14">
        <v>0.8109999999999999</v>
      </c>
      <c r="H40" s="14">
        <v>5.547000000000001</v>
      </c>
      <c r="I40" s="137" t="s">
        <v>77</v>
      </c>
      <c r="J40" s="139">
        <f>'[1]Лист3'!N41</f>
        <v>44170.541666666664</v>
      </c>
      <c r="K40" s="16"/>
    </row>
    <row r="41" spans="1:11" ht="18.75" customHeight="1" thickBot="1">
      <c r="A41" s="134"/>
      <c r="B41" s="153"/>
      <c r="C41" s="153"/>
      <c r="D41" s="17" t="s">
        <v>63</v>
      </c>
      <c r="E41" s="18">
        <v>0.882</v>
      </c>
      <c r="F41" s="102">
        <v>0.015</v>
      </c>
      <c r="G41" s="102">
        <v>0</v>
      </c>
      <c r="H41" s="20">
        <v>0.867</v>
      </c>
      <c r="I41" s="138"/>
      <c r="J41" s="140"/>
      <c r="K41" s="16"/>
    </row>
    <row r="42" spans="1:11" s="28" customFormat="1" ht="18.75" customHeight="1">
      <c r="A42" s="133" t="s">
        <v>19</v>
      </c>
      <c r="B42" s="128" t="s">
        <v>112</v>
      </c>
      <c r="C42" s="128"/>
      <c r="D42" s="26" t="s">
        <v>58</v>
      </c>
      <c r="E42" s="35">
        <v>10</v>
      </c>
      <c r="F42" s="14">
        <v>5.121</v>
      </c>
      <c r="G42" s="14">
        <v>0.28900000000000003</v>
      </c>
      <c r="H42" s="14">
        <v>4.59</v>
      </c>
      <c r="I42" s="137" t="s">
        <v>40</v>
      </c>
      <c r="J42" s="139">
        <f>'[1]Лист3'!N43</f>
        <v>44192.708333333336</v>
      </c>
      <c r="K42" s="16"/>
    </row>
    <row r="43" spans="1:11" ht="18.75" customHeight="1" thickBot="1">
      <c r="A43" s="134"/>
      <c r="B43" s="136"/>
      <c r="C43" s="136"/>
      <c r="D43" s="17" t="s">
        <v>63</v>
      </c>
      <c r="E43" s="18">
        <v>1.4</v>
      </c>
      <c r="F43" s="102">
        <v>0.844</v>
      </c>
      <c r="G43" s="102">
        <v>0.068</v>
      </c>
      <c r="H43" s="20">
        <v>0.48799999999999993</v>
      </c>
      <c r="I43" s="138"/>
      <c r="J43" s="140"/>
      <c r="K43" s="16"/>
    </row>
    <row r="44" spans="1:13" s="6" customFormat="1" ht="18.75" customHeight="1">
      <c r="A44" s="154" t="s">
        <v>18</v>
      </c>
      <c r="B44" s="152" t="s">
        <v>113</v>
      </c>
      <c r="C44" s="152"/>
      <c r="D44" s="12" t="s">
        <v>58</v>
      </c>
      <c r="E44" s="13">
        <v>10</v>
      </c>
      <c r="F44" s="81">
        <v>2.274</v>
      </c>
      <c r="G44" s="81">
        <v>1.0139</v>
      </c>
      <c r="H44" s="14">
        <v>6.7120999999999995</v>
      </c>
      <c r="I44" s="137" t="s">
        <v>78</v>
      </c>
      <c r="J44" s="139">
        <v>44507.791666666664</v>
      </c>
      <c r="K44" s="16"/>
      <c r="L44" s="156"/>
      <c r="M44" s="156"/>
    </row>
    <row r="45" spans="1:13" s="3" customFormat="1" ht="18.75" customHeight="1" thickBot="1">
      <c r="A45" s="155"/>
      <c r="B45" s="153"/>
      <c r="C45" s="153"/>
      <c r="D45" s="41" t="s">
        <v>63</v>
      </c>
      <c r="E45" s="19">
        <v>0.882</v>
      </c>
      <c r="F45" s="102">
        <v>0.104</v>
      </c>
      <c r="G45" s="102">
        <v>0</v>
      </c>
      <c r="H45" s="20">
        <v>0.778</v>
      </c>
      <c r="I45" s="138"/>
      <c r="J45" s="140"/>
      <c r="K45" s="16"/>
      <c r="L45" s="156"/>
      <c r="M45" s="156"/>
    </row>
    <row r="46" spans="1:11" s="28" customFormat="1" ht="18.75" customHeight="1">
      <c r="A46" s="146" t="s">
        <v>20</v>
      </c>
      <c r="B46" s="147" t="s">
        <v>114</v>
      </c>
      <c r="C46" s="147"/>
      <c r="D46" s="29" t="s">
        <v>58</v>
      </c>
      <c r="E46" s="40">
        <v>10</v>
      </c>
      <c r="F46" s="24">
        <v>3.415</v>
      </c>
      <c r="G46" s="24">
        <v>1.062</v>
      </c>
      <c r="H46" s="24">
        <v>5.523</v>
      </c>
      <c r="I46" s="137" t="s">
        <v>68</v>
      </c>
      <c r="J46" s="139">
        <v>44224.833333333336</v>
      </c>
      <c r="K46" s="16"/>
    </row>
    <row r="47" spans="1:11" ht="18.75" customHeight="1" thickBot="1">
      <c r="A47" s="134"/>
      <c r="B47" s="136"/>
      <c r="C47" s="136"/>
      <c r="D47" s="17" t="s">
        <v>63</v>
      </c>
      <c r="E47" s="18">
        <v>1.4</v>
      </c>
      <c r="F47" s="102">
        <v>0.136</v>
      </c>
      <c r="G47" s="102">
        <v>0</v>
      </c>
      <c r="H47" s="20">
        <v>1.2639999999999998</v>
      </c>
      <c r="I47" s="138"/>
      <c r="J47" s="140"/>
      <c r="K47" s="16"/>
    </row>
    <row r="48" spans="1:11" s="28" customFormat="1" ht="18.75" customHeight="1">
      <c r="A48" s="154" t="s">
        <v>21</v>
      </c>
      <c r="B48" s="128" t="s">
        <v>115</v>
      </c>
      <c r="C48" s="128"/>
      <c r="D48" s="26" t="s">
        <v>58</v>
      </c>
      <c r="E48" s="35">
        <v>10</v>
      </c>
      <c r="F48" s="14">
        <v>1.759</v>
      </c>
      <c r="G48" s="14">
        <v>0.50356</v>
      </c>
      <c r="H48" s="14">
        <v>7.737439999999999</v>
      </c>
      <c r="I48" s="137" t="s">
        <v>57</v>
      </c>
      <c r="J48" s="139">
        <v>44560.875</v>
      </c>
      <c r="K48" s="16"/>
    </row>
    <row r="49" spans="1:11" ht="18.75" customHeight="1" thickBot="1">
      <c r="A49" s="134"/>
      <c r="B49" s="136"/>
      <c r="C49" s="136"/>
      <c r="D49" s="17" t="s">
        <v>63</v>
      </c>
      <c r="E49" s="18">
        <v>1.4</v>
      </c>
      <c r="F49" s="103">
        <v>0.317</v>
      </c>
      <c r="G49" s="103">
        <v>0</v>
      </c>
      <c r="H49" s="20">
        <v>1.083</v>
      </c>
      <c r="I49" s="138"/>
      <c r="J49" s="140"/>
      <c r="K49" s="16"/>
    </row>
    <row r="50" spans="1:11" s="28" customFormat="1" ht="18.75" customHeight="1">
      <c r="A50" s="154" t="s">
        <v>22</v>
      </c>
      <c r="B50" s="128" t="s">
        <v>116</v>
      </c>
      <c r="C50" s="128"/>
      <c r="D50" s="26" t="s">
        <v>58</v>
      </c>
      <c r="E50" s="35">
        <v>10</v>
      </c>
      <c r="F50" s="14">
        <v>2.831</v>
      </c>
      <c r="G50" s="14">
        <v>0.8130000000000001</v>
      </c>
      <c r="H50" s="14">
        <v>6.356000000000001</v>
      </c>
      <c r="I50" s="137" t="s">
        <v>81</v>
      </c>
      <c r="J50" s="139">
        <v>44220.75</v>
      </c>
      <c r="K50" s="16"/>
    </row>
    <row r="51" spans="1:13" ht="18.75" customHeight="1" thickBot="1">
      <c r="A51" s="134"/>
      <c r="B51" s="136"/>
      <c r="C51" s="136"/>
      <c r="D51" s="17" t="s">
        <v>59</v>
      </c>
      <c r="E51" s="18">
        <v>1.4</v>
      </c>
      <c r="F51" s="102">
        <v>0.305</v>
      </c>
      <c r="G51" s="102">
        <v>1.264</v>
      </c>
      <c r="H51" s="20">
        <v>0</v>
      </c>
      <c r="I51" s="138"/>
      <c r="J51" s="140"/>
      <c r="K51" s="16"/>
      <c r="L51" s="157"/>
      <c r="M51" s="157"/>
    </row>
    <row r="52" spans="1:13" ht="18.75" customHeight="1">
      <c r="A52" s="158" t="s">
        <v>23</v>
      </c>
      <c r="B52" s="160" t="s">
        <v>117</v>
      </c>
      <c r="C52" s="161"/>
      <c r="D52" s="29" t="s">
        <v>58</v>
      </c>
      <c r="E52" s="40">
        <v>10</v>
      </c>
      <c r="F52" s="24">
        <v>3.065</v>
      </c>
      <c r="G52" s="24">
        <v>0.024750000000000022</v>
      </c>
      <c r="H52" s="24">
        <v>6.9102500000000004</v>
      </c>
      <c r="I52" s="137" t="s">
        <v>90</v>
      </c>
      <c r="J52" s="139">
        <v>44279.833333333336</v>
      </c>
      <c r="K52" s="16"/>
      <c r="L52" s="164"/>
      <c r="M52" s="164"/>
    </row>
    <row r="53" spans="1:13" ht="18.75" customHeight="1" thickBot="1">
      <c r="A53" s="159"/>
      <c r="B53" s="162"/>
      <c r="C53" s="163"/>
      <c r="D53" s="17" t="s">
        <v>63</v>
      </c>
      <c r="E53" s="18">
        <v>1.4</v>
      </c>
      <c r="F53" s="102">
        <v>0.3</v>
      </c>
      <c r="G53" s="102">
        <v>0.001</v>
      </c>
      <c r="H53" s="20">
        <v>1.099</v>
      </c>
      <c r="I53" s="138"/>
      <c r="J53" s="140"/>
      <c r="K53" s="16"/>
      <c r="L53" s="164"/>
      <c r="M53" s="164"/>
    </row>
    <row r="54" spans="1:11" s="28" customFormat="1" ht="18.75" customHeight="1">
      <c r="A54" s="154" t="s">
        <v>24</v>
      </c>
      <c r="B54" s="128" t="s">
        <v>118</v>
      </c>
      <c r="C54" s="128"/>
      <c r="D54" s="26" t="s">
        <v>60</v>
      </c>
      <c r="E54" s="35">
        <v>6</v>
      </c>
      <c r="F54" s="14">
        <v>1.972</v>
      </c>
      <c r="G54" s="14">
        <v>0.613</v>
      </c>
      <c r="H54" s="14">
        <v>3.4150000000000005</v>
      </c>
      <c r="I54" s="137" t="s">
        <v>41</v>
      </c>
      <c r="J54" s="139">
        <f>'[1]Лист3'!N55</f>
        <v>43475.625</v>
      </c>
      <c r="K54" s="16"/>
    </row>
    <row r="55" spans="1:11" ht="18.75" customHeight="1" thickBot="1">
      <c r="A55" s="134"/>
      <c r="B55" s="136"/>
      <c r="C55" s="136"/>
      <c r="D55" s="17" t="s">
        <v>63</v>
      </c>
      <c r="E55" s="18">
        <v>0.56</v>
      </c>
      <c r="F55" s="102">
        <v>0.005</v>
      </c>
      <c r="G55" s="102">
        <v>0.017</v>
      </c>
      <c r="H55" s="20">
        <v>0.538</v>
      </c>
      <c r="I55" s="138"/>
      <c r="J55" s="140"/>
      <c r="K55" s="16"/>
    </row>
    <row r="56" spans="1:11" s="28" customFormat="1" ht="18.75" customHeight="1">
      <c r="A56" s="165" t="s">
        <v>25</v>
      </c>
      <c r="B56" s="128" t="s">
        <v>119</v>
      </c>
      <c r="C56" s="128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37" t="s">
        <v>42</v>
      </c>
      <c r="J56" s="139">
        <f>'[1]Лист3'!N57</f>
        <v>44193.583333333336</v>
      </c>
      <c r="K56" s="16"/>
    </row>
    <row r="57" spans="1:11" ht="21.75" customHeight="1" thickBot="1">
      <c r="A57" s="159"/>
      <c r="B57" s="136"/>
      <c r="C57" s="136"/>
      <c r="D57" s="17" t="s">
        <v>63</v>
      </c>
      <c r="E57" s="18">
        <v>0.882</v>
      </c>
      <c r="F57" s="102">
        <v>0.267</v>
      </c>
      <c r="G57" s="102">
        <v>0</v>
      </c>
      <c r="H57" s="20">
        <v>0.615</v>
      </c>
      <c r="I57" s="138"/>
      <c r="J57" s="140"/>
      <c r="K57" s="16"/>
    </row>
    <row r="58" spans="1:11" s="28" customFormat="1" ht="18.75" customHeight="1">
      <c r="A58" s="166" t="s">
        <v>26</v>
      </c>
      <c r="B58" s="168" t="s">
        <v>120</v>
      </c>
      <c r="C58" s="169"/>
      <c r="D58" s="29" t="s">
        <v>60</v>
      </c>
      <c r="E58" s="40">
        <v>6</v>
      </c>
      <c r="F58" s="24">
        <v>1.808</v>
      </c>
      <c r="G58" s="24">
        <v>0.010999999999999996</v>
      </c>
      <c r="H58" s="24">
        <v>4.181</v>
      </c>
      <c r="I58" s="137" t="s">
        <v>43</v>
      </c>
      <c r="J58" s="139">
        <f>'[1]Лист3'!N59</f>
        <v>43859.708333333336</v>
      </c>
      <c r="K58" s="16"/>
    </row>
    <row r="59" spans="1:11" ht="18.75" customHeight="1" thickBot="1">
      <c r="A59" s="167"/>
      <c r="B59" s="170"/>
      <c r="C59" s="171"/>
      <c r="D59" s="42" t="s">
        <v>63</v>
      </c>
      <c r="E59" s="18">
        <v>0.882</v>
      </c>
      <c r="F59" s="102">
        <v>0.333</v>
      </c>
      <c r="G59" s="102">
        <v>0.1</v>
      </c>
      <c r="H59" s="20">
        <v>0.44899999999999995</v>
      </c>
      <c r="I59" s="138"/>
      <c r="J59" s="140"/>
      <c r="K59" s="16"/>
    </row>
    <row r="60" spans="1:11" s="28" customFormat="1" ht="18.75" customHeight="1">
      <c r="A60" s="172" t="s">
        <v>27</v>
      </c>
      <c r="B60" s="152" t="s">
        <v>121</v>
      </c>
      <c r="C60" s="128"/>
      <c r="D60" s="26" t="s">
        <v>58</v>
      </c>
      <c r="E60" s="35">
        <v>10</v>
      </c>
      <c r="F60" s="14">
        <v>1.846</v>
      </c>
      <c r="G60" s="14">
        <v>0.894</v>
      </c>
      <c r="H60" s="14">
        <v>7.26</v>
      </c>
      <c r="I60" s="137" t="s">
        <v>91</v>
      </c>
      <c r="J60" s="139">
        <f>'[1]Лист3'!N61</f>
        <v>43986.5</v>
      </c>
      <c r="K60" s="16"/>
    </row>
    <row r="61" spans="1:11" ht="18.75" customHeight="1" thickBot="1">
      <c r="A61" s="167"/>
      <c r="B61" s="136"/>
      <c r="C61" s="136"/>
      <c r="D61" s="17" t="s">
        <v>63</v>
      </c>
      <c r="E61" s="18">
        <v>0.882</v>
      </c>
      <c r="F61" s="102">
        <v>0.111</v>
      </c>
      <c r="G61" s="102">
        <v>0.03</v>
      </c>
      <c r="H61" s="20">
        <v>0.741</v>
      </c>
      <c r="I61" s="138"/>
      <c r="J61" s="140"/>
      <c r="K61" s="16"/>
    </row>
    <row r="62" spans="1:11" ht="18.75" customHeight="1">
      <c r="A62" s="166" t="s">
        <v>28</v>
      </c>
      <c r="B62" s="160" t="s">
        <v>122</v>
      </c>
      <c r="C62" s="161"/>
      <c r="D62" s="29" t="s">
        <v>61</v>
      </c>
      <c r="E62" s="40">
        <v>6</v>
      </c>
      <c r="F62" s="24">
        <v>1.327</v>
      </c>
      <c r="G62" s="24">
        <v>0</v>
      </c>
      <c r="H62" s="24">
        <v>4.673</v>
      </c>
      <c r="I62" s="137" t="s">
        <v>85</v>
      </c>
      <c r="J62" s="139">
        <v>44519.5</v>
      </c>
      <c r="K62" s="16"/>
    </row>
    <row r="63" spans="1:11" ht="18.75" customHeight="1" thickBot="1">
      <c r="A63" s="167"/>
      <c r="B63" s="162"/>
      <c r="C63" s="163"/>
      <c r="D63" s="17" t="s">
        <v>63</v>
      </c>
      <c r="E63" s="18">
        <v>0.882</v>
      </c>
      <c r="F63" s="102">
        <v>0.097</v>
      </c>
      <c r="G63" s="102">
        <v>0</v>
      </c>
      <c r="H63" s="20">
        <v>0.785</v>
      </c>
      <c r="I63" s="138"/>
      <c r="J63" s="140"/>
      <c r="K63" s="16"/>
    </row>
    <row r="64" spans="1:11" ht="18.75" customHeight="1">
      <c r="A64" s="172" t="s">
        <v>29</v>
      </c>
      <c r="B64" s="173" t="s">
        <v>123</v>
      </c>
      <c r="C64" s="174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37" t="s">
        <v>70</v>
      </c>
      <c r="J64" s="139">
        <f>'[1]Лист3'!N65</f>
        <v>44193.458333333336</v>
      </c>
      <c r="K64" s="16"/>
    </row>
    <row r="65" spans="1:11" ht="18.75" customHeight="1" thickBot="1">
      <c r="A65" s="167"/>
      <c r="B65" s="162"/>
      <c r="C65" s="163"/>
      <c r="D65" s="17" t="s">
        <v>63</v>
      </c>
      <c r="E65" s="18">
        <v>0.882</v>
      </c>
      <c r="F65" s="102">
        <v>0.051</v>
      </c>
      <c r="G65" s="102">
        <v>0</v>
      </c>
      <c r="H65" s="20">
        <v>0.831</v>
      </c>
      <c r="I65" s="138"/>
      <c r="J65" s="140"/>
      <c r="K65" s="16"/>
    </row>
    <row r="66" spans="1:12" ht="26.25" customHeight="1" thickBot="1">
      <c r="A66" s="44">
        <v>31</v>
      </c>
      <c r="B66" s="124" t="s">
        <v>124</v>
      </c>
      <c r="C66" s="125"/>
      <c r="D66" s="80" t="s">
        <v>58</v>
      </c>
      <c r="E66" s="80">
        <v>10</v>
      </c>
      <c r="F66" s="104">
        <v>1.32</v>
      </c>
      <c r="G66" s="104">
        <v>0.15</v>
      </c>
      <c r="H66" s="81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54">
        <v>32</v>
      </c>
      <c r="B67" s="152" t="s">
        <v>125</v>
      </c>
      <c r="C67" s="128"/>
      <c r="D67" s="26" t="s">
        <v>58</v>
      </c>
      <c r="E67" s="35">
        <v>10</v>
      </c>
      <c r="F67" s="14">
        <v>1.882</v>
      </c>
      <c r="G67" s="14">
        <v>0.36850000000000005</v>
      </c>
      <c r="H67" s="14">
        <v>7.7495</v>
      </c>
      <c r="I67" s="137" t="s">
        <v>44</v>
      </c>
      <c r="J67" s="139">
        <f>'[1]Лист3'!N68</f>
        <v>43860.416666666664</v>
      </c>
      <c r="K67" s="16"/>
    </row>
    <row r="68" spans="1:11" ht="18.75" customHeight="1" thickBot="1">
      <c r="A68" s="134"/>
      <c r="B68" s="136"/>
      <c r="C68" s="136"/>
      <c r="D68" s="17" t="s">
        <v>63</v>
      </c>
      <c r="E68" s="18">
        <v>0.882</v>
      </c>
      <c r="F68" s="102">
        <v>0.55</v>
      </c>
      <c r="G68" s="102">
        <v>0</v>
      </c>
      <c r="H68" s="20">
        <v>0.33199999999999996</v>
      </c>
      <c r="I68" s="138"/>
      <c r="J68" s="140"/>
      <c r="K68" s="16"/>
    </row>
    <row r="69" spans="1:11" ht="18.75" customHeight="1">
      <c r="A69" s="165">
        <v>33</v>
      </c>
      <c r="B69" s="173" t="s">
        <v>148</v>
      </c>
      <c r="C69" s="174"/>
      <c r="D69" s="26" t="s">
        <v>60</v>
      </c>
      <c r="E69" s="27">
        <v>8</v>
      </c>
      <c r="F69" s="14">
        <v>2.563</v>
      </c>
      <c r="G69" s="14">
        <v>0.05000000000000002</v>
      </c>
      <c r="H69" s="14">
        <v>5.387</v>
      </c>
      <c r="I69" s="137" t="s">
        <v>94</v>
      </c>
      <c r="J69" s="139">
        <v>44221.458333333336</v>
      </c>
      <c r="K69" s="16"/>
    </row>
    <row r="70" spans="1:11" ht="17.25" customHeight="1" thickBot="1">
      <c r="A70" s="159"/>
      <c r="B70" s="162"/>
      <c r="C70" s="163"/>
      <c r="D70" s="45" t="s">
        <v>63</v>
      </c>
      <c r="E70" s="67">
        <v>1.4</v>
      </c>
      <c r="F70" s="105">
        <v>0.152</v>
      </c>
      <c r="G70" s="105">
        <v>0.562</v>
      </c>
      <c r="H70" s="20">
        <v>0.6859999999999999</v>
      </c>
      <c r="I70" s="138"/>
      <c r="J70" s="140"/>
      <c r="K70" s="16"/>
    </row>
    <row r="71" spans="1:11" s="6" customFormat="1" ht="18.75" customHeight="1">
      <c r="A71" s="154">
        <v>34</v>
      </c>
      <c r="B71" s="152" t="s">
        <v>126</v>
      </c>
      <c r="C71" s="152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37" t="s">
        <v>65</v>
      </c>
      <c r="J71" s="139">
        <v>44432.666666666664</v>
      </c>
      <c r="K71" s="16"/>
    </row>
    <row r="72" spans="1:11" s="3" customFormat="1" ht="18.75" customHeight="1" thickBot="1">
      <c r="A72" s="155"/>
      <c r="B72" s="153"/>
      <c r="C72" s="153"/>
      <c r="D72" s="41" t="s">
        <v>63</v>
      </c>
      <c r="E72" s="19">
        <v>1.4</v>
      </c>
      <c r="F72" s="102">
        <v>0.13</v>
      </c>
      <c r="G72" s="102">
        <v>0.245</v>
      </c>
      <c r="H72" s="20">
        <v>1.025</v>
      </c>
      <c r="I72" s="138"/>
      <c r="J72" s="140"/>
      <c r="K72" s="16"/>
    </row>
    <row r="73" spans="1:11" s="28" customFormat="1" ht="18.75" customHeight="1">
      <c r="A73" s="154">
        <v>35</v>
      </c>
      <c r="B73" s="152" t="s">
        <v>127</v>
      </c>
      <c r="C73" s="128"/>
      <c r="D73" s="26" t="s">
        <v>58</v>
      </c>
      <c r="E73" s="35">
        <v>10</v>
      </c>
      <c r="F73" s="24">
        <v>2.123</v>
      </c>
      <c r="G73" s="24">
        <v>1.6129999999999998</v>
      </c>
      <c r="H73" s="14">
        <v>6.264</v>
      </c>
      <c r="I73" s="137" t="s">
        <v>45</v>
      </c>
      <c r="J73" s="139">
        <f>'[1]Лист3'!N74</f>
        <v>43497.75</v>
      </c>
      <c r="K73" s="16"/>
    </row>
    <row r="74" spans="1:11" ht="18.75" customHeight="1" thickBot="1">
      <c r="A74" s="134"/>
      <c r="B74" s="136"/>
      <c r="C74" s="136"/>
      <c r="D74" s="17" t="s">
        <v>63</v>
      </c>
      <c r="E74" s="18">
        <v>0.882</v>
      </c>
      <c r="F74" s="102">
        <v>0.035</v>
      </c>
      <c r="G74" s="102">
        <v>0</v>
      </c>
      <c r="H74" s="20">
        <v>0.847</v>
      </c>
      <c r="I74" s="138"/>
      <c r="J74" s="140"/>
      <c r="K74" s="16"/>
    </row>
    <row r="75" spans="1:11" s="28" customFormat="1" ht="18.75" customHeight="1">
      <c r="A75" s="154">
        <v>36</v>
      </c>
      <c r="B75" s="152" t="s">
        <v>315</v>
      </c>
      <c r="C75" s="128"/>
      <c r="D75" s="26" t="s">
        <v>58</v>
      </c>
      <c r="E75" s="35">
        <v>10</v>
      </c>
      <c r="F75" s="14">
        <v>2.043</v>
      </c>
      <c r="G75" s="14">
        <v>0.519</v>
      </c>
      <c r="H75" s="14">
        <v>7.438</v>
      </c>
      <c r="I75" s="137" t="s">
        <v>46</v>
      </c>
      <c r="J75" s="139">
        <f>'[1]Лист3'!N76</f>
        <v>44192.75</v>
      </c>
      <c r="K75" s="16"/>
    </row>
    <row r="76" spans="1:11" ht="18.75" customHeight="1" thickBot="1">
      <c r="A76" s="134"/>
      <c r="B76" s="136"/>
      <c r="C76" s="136"/>
      <c r="D76" s="17" t="s">
        <v>63</v>
      </c>
      <c r="E76" s="18">
        <v>0.56</v>
      </c>
      <c r="F76" s="103">
        <v>0.032</v>
      </c>
      <c r="G76" s="103">
        <v>0</v>
      </c>
      <c r="H76" s="20">
        <v>0.528</v>
      </c>
      <c r="I76" s="138"/>
      <c r="J76" s="140"/>
      <c r="K76" s="16"/>
    </row>
    <row r="77" spans="1:11" s="28" customFormat="1" ht="18.75" customHeight="1">
      <c r="A77" s="175">
        <v>37</v>
      </c>
      <c r="B77" s="148" t="s">
        <v>128</v>
      </c>
      <c r="C77" s="147"/>
      <c r="D77" s="29" t="s">
        <v>58</v>
      </c>
      <c r="E77" s="40">
        <v>10</v>
      </c>
      <c r="F77" s="14">
        <v>3.172</v>
      </c>
      <c r="G77" s="14">
        <v>0.7769999999999998</v>
      </c>
      <c r="H77" s="24">
        <v>6.050999999999999</v>
      </c>
      <c r="I77" s="137" t="s">
        <v>47</v>
      </c>
      <c r="J77" s="139">
        <f>'[1]Лист3'!N78</f>
        <v>44192.75</v>
      </c>
      <c r="K77" s="16"/>
    </row>
    <row r="78" spans="1:11" ht="18.75" customHeight="1" thickBot="1">
      <c r="A78" s="134"/>
      <c r="B78" s="136"/>
      <c r="C78" s="136"/>
      <c r="D78" s="17" t="s">
        <v>63</v>
      </c>
      <c r="E78" s="18">
        <v>0.14</v>
      </c>
      <c r="F78" s="102">
        <v>0.99</v>
      </c>
      <c r="G78" s="102">
        <v>0</v>
      </c>
      <c r="H78" s="20">
        <v>0</v>
      </c>
      <c r="I78" s="138"/>
      <c r="J78" s="140"/>
      <c r="K78" s="16"/>
    </row>
    <row r="79" spans="1:11" s="28" customFormat="1" ht="18.75" customHeight="1">
      <c r="A79" s="175">
        <v>38</v>
      </c>
      <c r="B79" s="148" t="s">
        <v>129</v>
      </c>
      <c r="C79" s="147"/>
      <c r="D79" s="29" t="s">
        <v>58</v>
      </c>
      <c r="E79" s="40">
        <v>10</v>
      </c>
      <c r="F79" s="24">
        <v>1.309</v>
      </c>
      <c r="G79" s="24">
        <v>0.30250000000000005</v>
      </c>
      <c r="H79" s="24">
        <v>8.3885</v>
      </c>
      <c r="I79" s="137" t="s">
        <v>92</v>
      </c>
      <c r="J79" s="139">
        <f>'[1]Лист3'!N80</f>
        <v>44070</v>
      </c>
      <c r="K79" s="16"/>
    </row>
    <row r="80" spans="1:11" ht="20.25" customHeight="1" thickBot="1">
      <c r="A80" s="149"/>
      <c r="B80" s="150"/>
      <c r="C80" s="150"/>
      <c r="D80" s="31" t="s">
        <v>63</v>
      </c>
      <c r="E80" s="32">
        <v>1.4</v>
      </c>
      <c r="F80" s="103">
        <v>0.094</v>
      </c>
      <c r="G80" s="103">
        <v>1.0725000000000002</v>
      </c>
      <c r="H80" s="33">
        <v>0.2334999999999996</v>
      </c>
      <c r="I80" s="138"/>
      <c r="J80" s="140"/>
      <c r="K80" s="16"/>
    </row>
    <row r="81" spans="1:11" s="28" customFormat="1" ht="18.75" customHeight="1">
      <c r="A81" s="154">
        <v>39</v>
      </c>
      <c r="B81" s="152" t="s">
        <v>130</v>
      </c>
      <c r="C81" s="128"/>
      <c r="D81" s="26" t="s">
        <v>58</v>
      </c>
      <c r="E81" s="35">
        <v>10</v>
      </c>
      <c r="F81" s="14">
        <v>1.772</v>
      </c>
      <c r="G81" s="14">
        <v>3.2439999999999998</v>
      </c>
      <c r="H81" s="14">
        <v>4.984</v>
      </c>
      <c r="I81" s="137" t="s">
        <v>48</v>
      </c>
      <c r="J81" s="139">
        <v>44070</v>
      </c>
      <c r="K81" s="16"/>
    </row>
    <row r="82" spans="1:11" ht="18.75" customHeight="1" thickBot="1">
      <c r="A82" s="134"/>
      <c r="B82" s="136"/>
      <c r="C82" s="136"/>
      <c r="D82" s="17" t="s">
        <v>63</v>
      </c>
      <c r="E82" s="18">
        <v>0.882</v>
      </c>
      <c r="F82" s="102">
        <v>0.222</v>
      </c>
      <c r="G82" s="102">
        <v>0.252</v>
      </c>
      <c r="H82" s="20">
        <v>0.40800000000000003</v>
      </c>
      <c r="I82" s="138"/>
      <c r="J82" s="140"/>
      <c r="K82" s="16"/>
    </row>
    <row r="83" spans="1:11" s="28" customFormat="1" ht="18.75" customHeight="1">
      <c r="A83" s="175">
        <v>40</v>
      </c>
      <c r="B83" s="148" t="s">
        <v>149</v>
      </c>
      <c r="C83" s="147"/>
      <c r="D83" s="29" t="s">
        <v>58</v>
      </c>
      <c r="E83" s="40">
        <v>10</v>
      </c>
      <c r="F83" s="24">
        <v>2.58</v>
      </c>
      <c r="G83" s="24">
        <v>0.7214</v>
      </c>
      <c r="H83" s="24">
        <v>6.6986</v>
      </c>
      <c r="I83" s="137" t="s">
        <v>49</v>
      </c>
      <c r="J83" s="139">
        <f>'[1]Лист3'!N84</f>
        <v>44168.791666666664</v>
      </c>
      <c r="K83" s="16"/>
    </row>
    <row r="84" spans="1:11" ht="18.75" customHeight="1" thickBot="1">
      <c r="A84" s="149"/>
      <c r="B84" s="150"/>
      <c r="C84" s="150"/>
      <c r="D84" s="31" t="s">
        <v>63</v>
      </c>
      <c r="E84" s="32">
        <v>0.56</v>
      </c>
      <c r="F84" s="103">
        <v>0.048</v>
      </c>
      <c r="G84" s="103">
        <v>0.066</v>
      </c>
      <c r="H84" s="33">
        <v>0.446</v>
      </c>
      <c r="I84" s="138"/>
      <c r="J84" s="140"/>
      <c r="K84" s="16"/>
    </row>
    <row r="85" spans="1:11" s="28" customFormat="1" ht="18.75" customHeight="1">
      <c r="A85" s="172">
        <v>41</v>
      </c>
      <c r="B85" s="152" t="s">
        <v>131</v>
      </c>
      <c r="C85" s="128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37" t="s">
        <v>69</v>
      </c>
      <c r="J85" s="139">
        <f>'[1]Лист3'!N86</f>
        <v>43496.375</v>
      </c>
      <c r="K85" s="16"/>
    </row>
    <row r="86" spans="1:11" s="28" customFormat="1" ht="18.75" customHeight="1">
      <c r="A86" s="166"/>
      <c r="B86" s="176"/>
      <c r="C86" s="176"/>
      <c r="D86" s="46" t="s">
        <v>61</v>
      </c>
      <c r="E86" s="47">
        <v>6.3</v>
      </c>
      <c r="F86" s="106">
        <v>2.926</v>
      </c>
      <c r="G86" s="106">
        <v>0.011000000000000117</v>
      </c>
      <c r="H86" s="24">
        <v>3.3629999999999995</v>
      </c>
      <c r="I86" s="177"/>
      <c r="J86" s="178"/>
      <c r="K86" s="16"/>
    </row>
    <row r="87" spans="1:11" ht="18.75" customHeight="1" thickBot="1">
      <c r="A87" s="167"/>
      <c r="B87" s="136"/>
      <c r="C87" s="136"/>
      <c r="D87" s="17" t="s">
        <v>63</v>
      </c>
      <c r="E87" s="18">
        <v>0.882</v>
      </c>
      <c r="F87" s="102">
        <v>0.032</v>
      </c>
      <c r="G87" s="102">
        <v>0.009</v>
      </c>
      <c r="H87" s="20">
        <v>0.841</v>
      </c>
      <c r="I87" s="138"/>
      <c r="J87" s="140"/>
      <c r="K87" s="16"/>
    </row>
    <row r="88" spans="1:13" s="28" customFormat="1" ht="15.75" customHeight="1">
      <c r="A88" s="172">
        <v>42</v>
      </c>
      <c r="B88" s="152" t="s">
        <v>132</v>
      </c>
      <c r="C88" s="128"/>
      <c r="D88" s="43" t="s">
        <v>62</v>
      </c>
      <c r="E88" s="27">
        <v>0</v>
      </c>
      <c r="F88" s="104">
        <v>0</v>
      </c>
      <c r="G88" s="104">
        <v>0</v>
      </c>
      <c r="H88" s="14">
        <v>0</v>
      </c>
      <c r="I88" s="137" t="s">
        <v>50</v>
      </c>
      <c r="J88" s="139">
        <v>44222.416666666664</v>
      </c>
      <c r="K88" s="16"/>
      <c r="L88" s="179"/>
      <c r="M88" s="179"/>
    </row>
    <row r="89" spans="1:13" s="28" customFormat="1" ht="15.75" customHeight="1" thickBot="1">
      <c r="A89" s="166"/>
      <c r="B89" s="150"/>
      <c r="C89" s="150"/>
      <c r="D89" s="49" t="s">
        <v>60</v>
      </c>
      <c r="E89" s="50">
        <v>6.3</v>
      </c>
      <c r="F89" s="107">
        <v>8.002</v>
      </c>
      <c r="G89" s="107">
        <v>1.0070000000000001</v>
      </c>
      <c r="H89" s="33">
        <v>0</v>
      </c>
      <c r="I89" s="138"/>
      <c r="J89" s="140"/>
      <c r="K89" s="16"/>
      <c r="L89" s="179"/>
      <c r="M89" s="179"/>
    </row>
    <row r="90" spans="1:12" s="28" customFormat="1" ht="18" customHeight="1">
      <c r="A90" s="154">
        <v>43</v>
      </c>
      <c r="B90" s="152" t="s">
        <v>133</v>
      </c>
      <c r="C90" s="128"/>
      <c r="D90" s="43" t="s">
        <v>62</v>
      </c>
      <c r="E90" s="27">
        <v>0</v>
      </c>
      <c r="F90" s="104">
        <v>0</v>
      </c>
      <c r="G90" s="104">
        <v>0</v>
      </c>
      <c r="H90" s="52">
        <v>0</v>
      </c>
      <c r="I90" s="137" t="s">
        <v>66</v>
      </c>
      <c r="J90" s="139">
        <v>44221.5</v>
      </c>
      <c r="K90" s="16"/>
      <c r="L90" s="6"/>
    </row>
    <row r="91" spans="1:14" s="28" customFormat="1" ht="18.75" customHeight="1" thickBot="1">
      <c r="A91" s="134"/>
      <c r="B91" s="136"/>
      <c r="C91" s="136"/>
      <c r="D91" s="53" t="s">
        <v>60</v>
      </c>
      <c r="E91" s="54">
        <v>6.3</v>
      </c>
      <c r="F91" s="20">
        <v>4.849</v>
      </c>
      <c r="G91" s="20">
        <v>0.5509999999999999</v>
      </c>
      <c r="H91" s="20">
        <v>0.8999999999999997</v>
      </c>
      <c r="I91" s="138"/>
      <c r="J91" s="140"/>
      <c r="K91" s="16"/>
      <c r="L91" s="156"/>
      <c r="M91" s="156"/>
      <c r="N91" s="156"/>
    </row>
    <row r="92" spans="1:11" s="28" customFormat="1" ht="18.75" customHeight="1">
      <c r="A92" s="175">
        <v>44</v>
      </c>
      <c r="B92" s="148" t="s">
        <v>134</v>
      </c>
      <c r="C92" s="147"/>
      <c r="D92" s="55" t="s">
        <v>62</v>
      </c>
      <c r="E92" s="23">
        <v>0</v>
      </c>
      <c r="F92" s="108">
        <v>0</v>
      </c>
      <c r="G92" s="108">
        <v>0</v>
      </c>
      <c r="H92" s="24">
        <v>0</v>
      </c>
      <c r="I92" s="137" t="s">
        <v>52</v>
      </c>
      <c r="J92" s="139">
        <f>'[1]Лист3'!N93</f>
        <v>43500.458333333336</v>
      </c>
      <c r="K92" s="16"/>
    </row>
    <row r="93" spans="1:11" s="28" customFormat="1" ht="18.75" customHeight="1" thickBot="1">
      <c r="A93" s="149"/>
      <c r="B93" s="150"/>
      <c r="C93" s="150"/>
      <c r="D93" s="56" t="s">
        <v>60</v>
      </c>
      <c r="E93" s="51">
        <v>6.3</v>
      </c>
      <c r="F93" s="107">
        <v>2.326</v>
      </c>
      <c r="G93" s="107">
        <v>0.9900000000000001</v>
      </c>
      <c r="H93" s="33">
        <v>2.9839999999999995</v>
      </c>
      <c r="I93" s="138"/>
      <c r="J93" s="140"/>
      <c r="K93" s="16"/>
    </row>
    <row r="94" spans="1:11" s="28" customFormat="1" ht="18.75" customHeight="1">
      <c r="A94" s="154">
        <v>45</v>
      </c>
      <c r="B94" s="152" t="s">
        <v>135</v>
      </c>
      <c r="C94" s="128"/>
      <c r="D94" s="43" t="s">
        <v>62</v>
      </c>
      <c r="E94" s="27">
        <v>0</v>
      </c>
      <c r="F94" s="104">
        <v>0</v>
      </c>
      <c r="G94" s="104">
        <v>0</v>
      </c>
      <c r="H94" s="14">
        <v>0</v>
      </c>
      <c r="I94" s="137" t="s">
        <v>51</v>
      </c>
      <c r="J94" s="139">
        <f>'[1]Лист3'!N95</f>
        <v>43509.708333333336</v>
      </c>
      <c r="K94" s="16"/>
    </row>
    <row r="95" spans="1:11" s="28" customFormat="1" ht="18.75" customHeight="1">
      <c r="A95" s="180"/>
      <c r="B95" s="181"/>
      <c r="C95" s="176"/>
      <c r="D95" s="46" t="s">
        <v>58</v>
      </c>
      <c r="E95" s="47">
        <v>10</v>
      </c>
      <c r="F95" s="106">
        <v>3.71</v>
      </c>
      <c r="G95" s="106">
        <v>0.646</v>
      </c>
      <c r="H95" s="24">
        <v>5.644</v>
      </c>
      <c r="I95" s="177"/>
      <c r="J95" s="178"/>
      <c r="K95" s="16"/>
    </row>
    <row r="96" spans="1:11" ht="18.75" customHeight="1" thickBot="1">
      <c r="A96" s="134"/>
      <c r="B96" s="136"/>
      <c r="C96" s="136"/>
      <c r="D96" s="41" t="s">
        <v>59</v>
      </c>
      <c r="E96" s="19">
        <v>0.882</v>
      </c>
      <c r="F96" s="102">
        <v>0.152</v>
      </c>
      <c r="G96" s="102">
        <v>0.025</v>
      </c>
      <c r="H96" s="20">
        <v>0.705</v>
      </c>
      <c r="I96" s="138"/>
      <c r="J96" s="140"/>
      <c r="K96" s="16"/>
    </row>
    <row r="97" spans="1:13" s="28" customFormat="1" ht="21.75" customHeight="1">
      <c r="A97" s="133">
        <v>46</v>
      </c>
      <c r="B97" s="152" t="s">
        <v>136</v>
      </c>
      <c r="C97" s="128"/>
      <c r="D97" s="43" t="s">
        <v>62</v>
      </c>
      <c r="E97" s="27">
        <v>0</v>
      </c>
      <c r="F97" s="104">
        <v>0</v>
      </c>
      <c r="G97" s="104">
        <v>0</v>
      </c>
      <c r="H97" s="14">
        <v>0</v>
      </c>
      <c r="I97" s="137" t="s">
        <v>67</v>
      </c>
      <c r="J97" s="139">
        <f>'[1]Лист3'!N98</f>
        <v>43502.416666666664</v>
      </c>
      <c r="K97" s="16"/>
      <c r="L97" s="182"/>
      <c r="M97" s="182"/>
    </row>
    <row r="98" spans="1:13" s="28" customFormat="1" ht="18.75" customHeight="1" thickBot="1">
      <c r="A98" s="134"/>
      <c r="B98" s="136"/>
      <c r="C98" s="136"/>
      <c r="D98" s="57" t="s">
        <v>60</v>
      </c>
      <c r="E98" s="58">
        <v>4</v>
      </c>
      <c r="F98" s="109">
        <v>3.439</v>
      </c>
      <c r="G98" s="109">
        <v>1.6470000000000002</v>
      </c>
      <c r="H98" s="20">
        <v>0</v>
      </c>
      <c r="I98" s="138"/>
      <c r="J98" s="140"/>
      <c r="K98" s="16"/>
      <c r="L98" s="182"/>
      <c r="M98" s="182"/>
    </row>
    <row r="99" spans="1:11" s="28" customFormat="1" ht="18.75" customHeight="1">
      <c r="A99" s="154">
        <v>47</v>
      </c>
      <c r="B99" s="152" t="s">
        <v>137</v>
      </c>
      <c r="C99" s="128"/>
      <c r="D99" s="43" t="s">
        <v>62</v>
      </c>
      <c r="E99" s="27">
        <v>0</v>
      </c>
      <c r="F99" s="104">
        <v>0</v>
      </c>
      <c r="G99" s="104">
        <v>0</v>
      </c>
      <c r="H99" s="14">
        <v>0</v>
      </c>
      <c r="I99" s="137" t="s">
        <v>51</v>
      </c>
      <c r="J99" s="139">
        <f>'[1]Лист3'!N100</f>
        <v>43497.541666666664</v>
      </c>
      <c r="K99" s="16"/>
    </row>
    <row r="100" spans="1:11" s="28" customFormat="1" ht="24" customHeight="1" thickBot="1">
      <c r="A100" s="134"/>
      <c r="B100" s="136"/>
      <c r="C100" s="136"/>
      <c r="D100" s="57" t="s">
        <v>60</v>
      </c>
      <c r="E100" s="58">
        <v>4</v>
      </c>
      <c r="F100" s="109">
        <v>1.084</v>
      </c>
      <c r="G100" s="109">
        <v>0</v>
      </c>
      <c r="H100" s="20">
        <v>2.916</v>
      </c>
      <c r="I100" s="138"/>
      <c r="J100" s="140"/>
      <c r="K100" s="16"/>
    </row>
    <row r="101" spans="1:11" ht="18.75" customHeight="1">
      <c r="A101" s="175">
        <v>48</v>
      </c>
      <c r="B101" s="148" t="s">
        <v>138</v>
      </c>
      <c r="C101" s="147"/>
      <c r="D101" s="59" t="s">
        <v>62</v>
      </c>
      <c r="E101" s="30">
        <v>0</v>
      </c>
      <c r="F101" s="108">
        <v>0</v>
      </c>
      <c r="G101" s="108">
        <v>0</v>
      </c>
      <c r="H101" s="24">
        <v>0</v>
      </c>
      <c r="I101" s="137" t="s">
        <v>51</v>
      </c>
      <c r="J101" s="139">
        <f>'[1]Лист3'!N102</f>
        <v>43731.458333333336</v>
      </c>
      <c r="K101" s="16"/>
    </row>
    <row r="102" spans="1:11" s="28" customFormat="1" ht="18.75" customHeight="1" thickBot="1">
      <c r="A102" s="149"/>
      <c r="B102" s="150"/>
      <c r="C102" s="150"/>
      <c r="D102" s="49" t="s">
        <v>60</v>
      </c>
      <c r="E102" s="50">
        <v>6.3</v>
      </c>
      <c r="F102" s="107">
        <v>2.329</v>
      </c>
      <c r="G102" s="107">
        <v>0.15000000000000002</v>
      </c>
      <c r="H102" s="33">
        <v>3.8209999999999997</v>
      </c>
      <c r="I102" s="138"/>
      <c r="J102" s="140"/>
      <c r="K102" s="16"/>
    </row>
    <row r="103" spans="1:11" ht="18.75" customHeight="1">
      <c r="A103" s="154">
        <v>49</v>
      </c>
      <c r="B103" s="152" t="s">
        <v>139</v>
      </c>
      <c r="C103" s="128"/>
      <c r="D103" s="43" t="s">
        <v>62</v>
      </c>
      <c r="E103" s="27">
        <v>0</v>
      </c>
      <c r="F103" s="104">
        <v>0</v>
      </c>
      <c r="G103" s="104">
        <v>0</v>
      </c>
      <c r="H103" s="14">
        <v>0</v>
      </c>
      <c r="I103" s="137" t="s">
        <v>53</v>
      </c>
      <c r="J103" s="139">
        <v>44220.916666666664</v>
      </c>
      <c r="K103" s="16"/>
    </row>
    <row r="104" spans="1:11" s="28" customFormat="1" ht="18.75" customHeight="1" thickBot="1">
      <c r="A104" s="134"/>
      <c r="B104" s="136"/>
      <c r="C104" s="136"/>
      <c r="D104" s="57" t="s">
        <v>58</v>
      </c>
      <c r="E104" s="58">
        <v>10</v>
      </c>
      <c r="F104" s="109">
        <v>4.132</v>
      </c>
      <c r="G104" s="109">
        <v>0</v>
      </c>
      <c r="H104" s="20">
        <v>5.868</v>
      </c>
      <c r="I104" s="138"/>
      <c r="J104" s="140"/>
      <c r="K104" s="16"/>
    </row>
    <row r="105" spans="1:11" ht="18.75" customHeight="1">
      <c r="A105" s="172">
        <v>50</v>
      </c>
      <c r="B105" s="152" t="s">
        <v>140</v>
      </c>
      <c r="C105" s="128"/>
      <c r="D105" s="43" t="s">
        <v>62</v>
      </c>
      <c r="E105" s="27">
        <v>0</v>
      </c>
      <c r="F105" s="104">
        <v>0</v>
      </c>
      <c r="G105" s="104">
        <v>0</v>
      </c>
      <c r="H105" s="14">
        <v>0</v>
      </c>
      <c r="I105" s="137" t="s">
        <v>67</v>
      </c>
      <c r="J105" s="139">
        <v>44551.75</v>
      </c>
      <c r="K105" s="16"/>
    </row>
    <row r="106" spans="1:11" s="28" customFormat="1" ht="18.75" customHeight="1" thickBot="1">
      <c r="A106" s="167"/>
      <c r="B106" s="136"/>
      <c r="C106" s="136"/>
      <c r="D106" s="57" t="s">
        <v>58</v>
      </c>
      <c r="E106" s="58">
        <v>6.3</v>
      </c>
      <c r="F106" s="109">
        <v>3.592</v>
      </c>
      <c r="G106" s="109">
        <v>0.025000000000000022</v>
      </c>
      <c r="H106" s="20">
        <v>2.683</v>
      </c>
      <c r="I106" s="138"/>
      <c r="J106" s="140"/>
      <c r="K106" s="16"/>
    </row>
    <row r="107" spans="1:11" ht="24" customHeight="1">
      <c r="A107" s="154">
        <v>51</v>
      </c>
      <c r="B107" s="152" t="s">
        <v>141</v>
      </c>
      <c r="C107" s="128"/>
      <c r="D107" s="43" t="s">
        <v>62</v>
      </c>
      <c r="E107" s="27">
        <v>0</v>
      </c>
      <c r="F107" s="104">
        <v>0</v>
      </c>
      <c r="G107" s="104">
        <v>0</v>
      </c>
      <c r="H107" s="14">
        <v>0</v>
      </c>
      <c r="I107" s="137" t="s">
        <v>54</v>
      </c>
      <c r="J107" s="139">
        <f>'[1]Лист3'!N108</f>
        <v>43498.791666666664</v>
      </c>
      <c r="K107" s="16"/>
    </row>
    <row r="108" spans="1:11" s="28" customFormat="1" ht="24.75" customHeight="1" thickBot="1">
      <c r="A108" s="134"/>
      <c r="B108" s="136"/>
      <c r="C108" s="136"/>
      <c r="D108" s="57" t="s">
        <v>60</v>
      </c>
      <c r="E108" s="58">
        <v>4</v>
      </c>
      <c r="F108" s="109">
        <v>1.739</v>
      </c>
      <c r="G108" s="109">
        <v>0.695</v>
      </c>
      <c r="H108" s="20">
        <v>1.5660000000000003</v>
      </c>
      <c r="I108" s="138"/>
      <c r="J108" s="140"/>
      <c r="K108" s="16"/>
    </row>
    <row r="109" spans="1:11" ht="18.75" customHeight="1">
      <c r="A109" s="154">
        <v>52</v>
      </c>
      <c r="B109" s="152" t="s">
        <v>142</v>
      </c>
      <c r="C109" s="128"/>
      <c r="D109" s="43" t="s">
        <v>62</v>
      </c>
      <c r="E109" s="27">
        <v>0</v>
      </c>
      <c r="F109" s="108">
        <v>0</v>
      </c>
      <c r="G109" s="108">
        <v>0</v>
      </c>
      <c r="H109" s="14">
        <v>0</v>
      </c>
      <c r="I109" s="137" t="s">
        <v>55</v>
      </c>
      <c r="J109" s="139">
        <v>44549.333333333336</v>
      </c>
      <c r="K109" s="16"/>
    </row>
    <row r="110" spans="1:11" s="28" customFormat="1" ht="18.75" customHeight="1" thickBot="1">
      <c r="A110" s="134"/>
      <c r="B110" s="136"/>
      <c r="C110" s="136"/>
      <c r="D110" s="57" t="s">
        <v>58</v>
      </c>
      <c r="E110" s="58">
        <v>6.3</v>
      </c>
      <c r="F110" s="107">
        <v>1.415</v>
      </c>
      <c r="G110" s="107">
        <v>0.3504999999999999</v>
      </c>
      <c r="H110" s="20">
        <v>4.5344999999999995</v>
      </c>
      <c r="I110" s="138"/>
      <c r="J110" s="140"/>
      <c r="K110" s="16"/>
    </row>
    <row r="111" spans="1:11" ht="18.75" customHeight="1">
      <c r="A111" s="133">
        <v>53</v>
      </c>
      <c r="B111" s="152" t="s">
        <v>143</v>
      </c>
      <c r="C111" s="128"/>
      <c r="D111" s="43" t="s">
        <v>62</v>
      </c>
      <c r="E111" s="27">
        <v>0</v>
      </c>
      <c r="F111" s="104">
        <v>0</v>
      </c>
      <c r="G111" s="104">
        <v>0</v>
      </c>
      <c r="H111" s="14">
        <v>0</v>
      </c>
      <c r="I111" s="137" t="s">
        <v>56</v>
      </c>
      <c r="J111" s="139">
        <f>'[1]Лист3'!N112</f>
        <v>43497.875</v>
      </c>
      <c r="K111" s="16"/>
    </row>
    <row r="112" spans="1:11" s="28" customFormat="1" ht="18.75" customHeight="1" thickBot="1">
      <c r="A112" s="134"/>
      <c r="B112" s="136"/>
      <c r="C112" s="136"/>
      <c r="D112" s="57" t="s">
        <v>60</v>
      </c>
      <c r="E112" s="58">
        <v>6.3</v>
      </c>
      <c r="F112" s="109">
        <v>2.532</v>
      </c>
      <c r="G112" s="109">
        <v>0.32208499999999995</v>
      </c>
      <c r="H112" s="20">
        <v>3.445915</v>
      </c>
      <c r="I112" s="138"/>
      <c r="J112" s="140"/>
      <c r="K112" s="16"/>
    </row>
    <row r="113" spans="1:12" ht="18.75" customHeight="1">
      <c r="A113" s="133">
        <v>54</v>
      </c>
      <c r="B113" s="152" t="s">
        <v>144</v>
      </c>
      <c r="C113" s="152"/>
      <c r="D113" s="60" t="s">
        <v>62</v>
      </c>
      <c r="E113" s="21">
        <v>0</v>
      </c>
      <c r="F113" s="104">
        <v>0</v>
      </c>
      <c r="G113" s="104">
        <v>0</v>
      </c>
      <c r="H113" s="14">
        <v>0</v>
      </c>
      <c r="I113" s="137" t="s">
        <v>93</v>
      </c>
      <c r="J113" s="139">
        <v>44221.875</v>
      </c>
      <c r="K113" s="16"/>
      <c r="L113" s="62"/>
    </row>
    <row r="114" spans="1:11" s="28" customFormat="1" ht="18.75" customHeight="1" thickBot="1">
      <c r="A114" s="134"/>
      <c r="B114" s="153"/>
      <c r="C114" s="153"/>
      <c r="D114" s="61" t="s">
        <v>58</v>
      </c>
      <c r="E114" s="48">
        <v>10</v>
      </c>
      <c r="F114" s="109">
        <v>5.104</v>
      </c>
      <c r="G114" s="109">
        <v>0.45</v>
      </c>
      <c r="H114" s="20">
        <v>4.446</v>
      </c>
      <c r="I114" s="138"/>
      <c r="J114" s="140"/>
      <c r="K114" s="16"/>
    </row>
    <row r="115" spans="1:11" ht="18.75" customHeight="1">
      <c r="A115" s="133">
        <v>55</v>
      </c>
      <c r="B115" s="128" t="s">
        <v>145</v>
      </c>
      <c r="C115" s="128"/>
      <c r="D115" s="43" t="s">
        <v>62</v>
      </c>
      <c r="E115" s="27">
        <v>0</v>
      </c>
      <c r="F115" s="104">
        <v>0</v>
      </c>
      <c r="G115" s="104">
        <v>0</v>
      </c>
      <c r="H115" s="14">
        <v>0</v>
      </c>
      <c r="I115" s="137" t="s">
        <v>93</v>
      </c>
      <c r="J115" s="139">
        <f>'[1]Лист3'!N116</f>
        <v>43700.833333333336</v>
      </c>
      <c r="K115" s="16"/>
    </row>
    <row r="116" spans="1:11" s="28" customFormat="1" ht="18.75" customHeight="1" thickBot="1">
      <c r="A116" s="134"/>
      <c r="B116" s="136"/>
      <c r="C116" s="136"/>
      <c r="D116" s="57" t="s">
        <v>58</v>
      </c>
      <c r="E116" s="58">
        <v>16</v>
      </c>
      <c r="F116" s="109">
        <v>3.972</v>
      </c>
      <c r="G116" s="109">
        <v>2.6790000000000003</v>
      </c>
      <c r="H116" s="20">
        <v>9.349</v>
      </c>
      <c r="I116" s="138"/>
      <c r="J116" s="140"/>
      <c r="K116" s="16"/>
    </row>
    <row r="117" spans="1:3" ht="12">
      <c r="A117" s="62"/>
      <c r="B117" s="183"/>
      <c r="C117" s="183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J8:J9"/>
    <mergeCell ref="A10:A11"/>
    <mergeCell ref="B10:C11"/>
    <mergeCell ref="I10:I11"/>
    <mergeCell ref="J10:J11"/>
    <mergeCell ref="B8:C9"/>
    <mergeCell ref="I8:I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7" t="s">
        <v>450</v>
      </c>
      <c r="B2" s="197"/>
      <c r="C2" s="197"/>
      <c r="D2" s="197"/>
      <c r="E2" s="197"/>
      <c r="F2" s="197"/>
      <c r="G2" s="197"/>
      <c r="H2" s="197"/>
      <c r="I2" s="197"/>
    </row>
    <row r="4" spans="1:9" ht="12.75" customHeight="1">
      <c r="A4" s="198" t="s">
        <v>151</v>
      </c>
      <c r="B4" s="193" t="s">
        <v>71</v>
      </c>
      <c r="C4" s="193" t="s">
        <v>64</v>
      </c>
      <c r="D4" s="193" t="s">
        <v>79</v>
      </c>
      <c r="E4" s="191" t="s">
        <v>152</v>
      </c>
      <c r="F4" s="191" t="s">
        <v>83</v>
      </c>
      <c r="G4" s="193" t="s">
        <v>80</v>
      </c>
      <c r="H4" s="193" t="s">
        <v>153</v>
      </c>
      <c r="I4" s="193" t="s">
        <v>87</v>
      </c>
    </row>
    <row r="5" spans="1:9" ht="51.75" customHeight="1">
      <c r="A5" s="199"/>
      <c r="B5" s="194"/>
      <c r="C5" s="195"/>
      <c r="D5" s="194"/>
      <c r="E5" s="192"/>
      <c r="F5" s="192"/>
      <c r="G5" s="194"/>
      <c r="H5" s="195"/>
      <c r="I5" s="195"/>
    </row>
    <row r="6" spans="1:9" ht="15.75" customHeight="1">
      <c r="A6" s="186" t="s">
        <v>0</v>
      </c>
      <c r="B6" s="196" t="s">
        <v>337</v>
      </c>
      <c r="C6" s="88" t="s">
        <v>338</v>
      </c>
      <c r="D6" s="89">
        <v>0</v>
      </c>
      <c r="E6" s="93">
        <v>0</v>
      </c>
      <c r="F6" s="90">
        <v>0</v>
      </c>
      <c r="G6" s="94">
        <f>D6-E6-F6</f>
        <v>0</v>
      </c>
      <c r="H6" s="188" t="s">
        <v>339</v>
      </c>
      <c r="I6" s="190" t="s">
        <v>367</v>
      </c>
    </row>
    <row r="7" spans="1:9" ht="15.75">
      <c r="A7" s="187"/>
      <c r="B7" s="187"/>
      <c r="C7" s="88" t="s">
        <v>340</v>
      </c>
      <c r="D7" s="89">
        <v>6.3</v>
      </c>
      <c r="E7" s="93">
        <v>2.15</v>
      </c>
      <c r="F7" s="90">
        <f>8.289+0.07109+0.007+0.03+0.015+0.04+0.039</f>
        <v>8.491089999999998</v>
      </c>
      <c r="G7" s="94">
        <v>0</v>
      </c>
      <c r="H7" s="189"/>
      <c r="I7" s="190"/>
    </row>
    <row r="8" spans="1:9" ht="15.75" customHeight="1">
      <c r="A8" s="184" t="s">
        <v>1</v>
      </c>
      <c r="B8" s="186" t="s">
        <v>341</v>
      </c>
      <c r="C8" s="88" t="s">
        <v>338</v>
      </c>
      <c r="D8" s="89">
        <v>0</v>
      </c>
      <c r="E8" s="93">
        <v>0</v>
      </c>
      <c r="F8" s="90">
        <v>0</v>
      </c>
      <c r="G8" s="94">
        <f aca="true" t="shared" si="0" ref="G8:G34">D8-E8-F8</f>
        <v>0</v>
      </c>
      <c r="H8" s="188" t="s">
        <v>342</v>
      </c>
      <c r="I8" s="190" t="s">
        <v>368</v>
      </c>
    </row>
    <row r="9" spans="1:9" ht="15.75">
      <c r="A9" s="185"/>
      <c r="B9" s="187"/>
      <c r="C9" s="88" t="s">
        <v>343</v>
      </c>
      <c r="D9" s="89">
        <v>10</v>
      </c>
      <c r="E9" s="93">
        <v>4.32</v>
      </c>
      <c r="F9" s="90">
        <f>21.5997+0.32888+0.063+0.094+0.4199+0.031+0.1644+0.102+0.13+0.01063+0.033+0.019+0.01738</f>
        <v>23.012889999999995</v>
      </c>
      <c r="G9" s="94">
        <v>0</v>
      </c>
      <c r="H9" s="189"/>
      <c r="I9" s="190"/>
    </row>
    <row r="10" spans="1:9" ht="15.75" customHeight="1">
      <c r="A10" s="184" t="s">
        <v>2</v>
      </c>
      <c r="B10" s="186" t="s">
        <v>344</v>
      </c>
      <c r="C10" s="88" t="s">
        <v>338</v>
      </c>
      <c r="D10" s="89">
        <v>0</v>
      </c>
      <c r="E10" s="93">
        <v>0</v>
      </c>
      <c r="F10" s="90">
        <v>0</v>
      </c>
      <c r="G10" s="94">
        <f t="shared" si="0"/>
        <v>0</v>
      </c>
      <c r="H10" s="188" t="s">
        <v>339</v>
      </c>
      <c r="I10" s="190" t="s">
        <v>369</v>
      </c>
    </row>
    <row r="11" spans="1:9" ht="15.75">
      <c r="A11" s="185"/>
      <c r="B11" s="187"/>
      <c r="C11" s="88" t="s">
        <v>340</v>
      </c>
      <c r="D11" s="89">
        <v>10</v>
      </c>
      <c r="E11" s="93">
        <v>2.43</v>
      </c>
      <c r="F11" s="90">
        <f>11.976+0.06605+0.045+0.035+0.26+0.0114+0.215+0.005+0.025438+0.005+0.02+0.06439</f>
        <v>12.728278000000001</v>
      </c>
      <c r="G11" s="94">
        <v>0</v>
      </c>
      <c r="H11" s="189"/>
      <c r="I11" s="190"/>
    </row>
    <row r="12" spans="1:9" ht="15.75" customHeight="1">
      <c r="A12" s="184" t="s">
        <v>3</v>
      </c>
      <c r="B12" s="186" t="s">
        <v>345</v>
      </c>
      <c r="C12" s="88" t="s">
        <v>338</v>
      </c>
      <c r="D12" s="89">
        <v>0</v>
      </c>
      <c r="E12" s="93">
        <v>0</v>
      </c>
      <c r="F12" s="90">
        <v>0</v>
      </c>
      <c r="G12" s="94">
        <f t="shared" si="0"/>
        <v>0</v>
      </c>
      <c r="H12" s="188" t="s">
        <v>339</v>
      </c>
      <c r="I12" s="190" t="s">
        <v>370</v>
      </c>
    </row>
    <row r="13" spans="1:9" ht="15.75">
      <c r="A13" s="185"/>
      <c r="B13" s="187"/>
      <c r="C13" s="88" t="s">
        <v>340</v>
      </c>
      <c r="D13" s="89">
        <v>6.3</v>
      </c>
      <c r="E13" s="93">
        <v>0.21</v>
      </c>
      <c r="F13" s="90">
        <f>1.857+0.085+0.005+0.044+0.118+0.032+0.038+0.069+0.025+0.008+0.031+0.024+0.04</f>
        <v>2.376</v>
      </c>
      <c r="G13" s="94">
        <f>D13-E13-F13</f>
        <v>3.714</v>
      </c>
      <c r="H13" s="189"/>
      <c r="I13" s="190"/>
    </row>
    <row r="14" spans="1:9" ht="15.75" customHeight="1">
      <c r="A14" s="184" t="s">
        <v>4</v>
      </c>
      <c r="B14" s="186" t="s">
        <v>346</v>
      </c>
      <c r="C14" s="88" t="s">
        <v>338</v>
      </c>
      <c r="D14" s="89">
        <v>0</v>
      </c>
      <c r="E14" s="93">
        <v>0</v>
      </c>
      <c r="F14" s="90">
        <v>0</v>
      </c>
      <c r="G14" s="94">
        <f t="shared" si="0"/>
        <v>0</v>
      </c>
      <c r="H14" s="188" t="s">
        <v>347</v>
      </c>
      <c r="I14" s="190" t="s">
        <v>371</v>
      </c>
    </row>
    <row r="15" spans="1:9" ht="15.75">
      <c r="A15" s="185"/>
      <c r="B15" s="187"/>
      <c r="C15" s="88" t="s">
        <v>343</v>
      </c>
      <c r="D15" s="89">
        <v>6.3</v>
      </c>
      <c r="E15" s="93">
        <v>0.12</v>
      </c>
      <c r="F15" s="90">
        <f>0.5+0.02+0.044+0.005+0.01</f>
        <v>0.5790000000000001</v>
      </c>
      <c r="G15" s="94">
        <f t="shared" si="0"/>
        <v>5.601</v>
      </c>
      <c r="H15" s="189"/>
      <c r="I15" s="190"/>
    </row>
    <row r="16" spans="1:9" ht="15.75" customHeight="1">
      <c r="A16" s="184" t="s">
        <v>5</v>
      </c>
      <c r="B16" s="186" t="s">
        <v>348</v>
      </c>
      <c r="C16" s="88" t="s">
        <v>338</v>
      </c>
      <c r="D16" s="89">
        <v>0</v>
      </c>
      <c r="E16" s="93">
        <v>0</v>
      </c>
      <c r="F16" s="90">
        <v>0</v>
      </c>
      <c r="G16" s="94">
        <f t="shared" si="0"/>
        <v>0</v>
      </c>
      <c r="H16" s="188" t="s">
        <v>349</v>
      </c>
      <c r="I16" s="190" t="s">
        <v>372</v>
      </c>
    </row>
    <row r="17" spans="1:9" ht="15.75">
      <c r="A17" s="185"/>
      <c r="B17" s="187"/>
      <c r="C17" s="88" t="s">
        <v>343</v>
      </c>
      <c r="D17" s="89">
        <v>4</v>
      </c>
      <c r="E17" s="93">
        <v>0.42</v>
      </c>
      <c r="F17" s="90">
        <f>2.077+0.077+0.026+0.12+0.11573+0.075+0.028+0.04-0.053-0.022+0.002+0.008+0.023</f>
        <v>2.5167300000000004</v>
      </c>
      <c r="G17" s="94">
        <f t="shared" si="0"/>
        <v>1.0632699999999997</v>
      </c>
      <c r="H17" s="189"/>
      <c r="I17" s="190"/>
    </row>
    <row r="18" spans="1:9" ht="15.75" customHeight="1">
      <c r="A18" s="184" t="s">
        <v>6</v>
      </c>
      <c r="B18" s="186" t="s">
        <v>350</v>
      </c>
      <c r="C18" s="88" t="s">
        <v>338</v>
      </c>
      <c r="D18" s="89">
        <v>0</v>
      </c>
      <c r="E18" s="93">
        <v>0</v>
      </c>
      <c r="F18" s="90">
        <v>0</v>
      </c>
      <c r="G18" s="94">
        <f t="shared" si="0"/>
        <v>0</v>
      </c>
      <c r="H18" s="188" t="s">
        <v>349</v>
      </c>
      <c r="I18" s="190" t="s">
        <v>373</v>
      </c>
    </row>
    <row r="19" spans="1:9" ht="15.75">
      <c r="A19" s="185"/>
      <c r="B19" s="187"/>
      <c r="C19" s="88" t="s">
        <v>343</v>
      </c>
      <c r="D19" s="89">
        <v>4</v>
      </c>
      <c r="E19" s="93">
        <v>0.13</v>
      </c>
      <c r="F19" s="90">
        <v>0.66</v>
      </c>
      <c r="G19" s="94">
        <f t="shared" si="0"/>
        <v>3.21</v>
      </c>
      <c r="H19" s="189"/>
      <c r="I19" s="190"/>
    </row>
    <row r="20" spans="1:9" ht="15.75" customHeight="1">
      <c r="A20" s="184" t="s">
        <v>7</v>
      </c>
      <c r="B20" s="186" t="s">
        <v>351</v>
      </c>
      <c r="C20" s="88" t="s">
        <v>338</v>
      </c>
      <c r="D20" s="89">
        <v>0</v>
      </c>
      <c r="E20" s="93">
        <v>0</v>
      </c>
      <c r="F20" s="90">
        <v>0</v>
      </c>
      <c r="G20" s="94">
        <f t="shared" si="0"/>
        <v>0</v>
      </c>
      <c r="H20" s="188" t="s">
        <v>352</v>
      </c>
      <c r="I20" s="190" t="s">
        <v>374</v>
      </c>
    </row>
    <row r="21" spans="1:9" ht="15.75">
      <c r="A21" s="185"/>
      <c r="B21" s="187"/>
      <c r="C21" s="88" t="s">
        <v>343</v>
      </c>
      <c r="D21" s="89">
        <v>6.3</v>
      </c>
      <c r="E21" s="93">
        <v>1.36</v>
      </c>
      <c r="F21" s="90">
        <v>0.89</v>
      </c>
      <c r="G21" s="94">
        <f t="shared" si="0"/>
        <v>4.05</v>
      </c>
      <c r="H21" s="189"/>
      <c r="I21" s="190"/>
    </row>
    <row r="22" spans="1:9" ht="15.75" customHeight="1">
      <c r="A22" s="184" t="s">
        <v>8</v>
      </c>
      <c r="B22" s="186" t="s">
        <v>353</v>
      </c>
      <c r="C22" s="88" t="s">
        <v>338</v>
      </c>
      <c r="D22" s="89">
        <v>0</v>
      </c>
      <c r="E22" s="93">
        <v>0</v>
      </c>
      <c r="F22" s="90">
        <v>0</v>
      </c>
      <c r="G22" s="94">
        <f t="shared" si="0"/>
        <v>0</v>
      </c>
      <c r="H22" s="188" t="s">
        <v>354</v>
      </c>
      <c r="I22" s="190" t="s">
        <v>375</v>
      </c>
    </row>
    <row r="23" spans="1:9" ht="15.75">
      <c r="A23" s="185"/>
      <c r="B23" s="187"/>
      <c r="C23" s="88" t="s">
        <v>340</v>
      </c>
      <c r="D23" s="89">
        <v>6.3</v>
      </c>
      <c r="E23" s="93">
        <v>1.21</v>
      </c>
      <c r="F23" s="90">
        <f>4.115+0.12+0.15+0.006+0.025</f>
        <v>4.416000000000001</v>
      </c>
      <c r="G23" s="94">
        <f t="shared" si="0"/>
        <v>0.6739999999999986</v>
      </c>
      <c r="H23" s="189"/>
      <c r="I23" s="190"/>
    </row>
    <row r="24" spans="1:9" ht="15.75" customHeight="1">
      <c r="A24" s="184" t="s">
        <v>9</v>
      </c>
      <c r="B24" s="186" t="s">
        <v>355</v>
      </c>
      <c r="C24" s="88" t="s">
        <v>338</v>
      </c>
      <c r="D24" s="89">
        <v>0</v>
      </c>
      <c r="E24" s="93">
        <v>0</v>
      </c>
      <c r="F24" s="90">
        <v>0</v>
      </c>
      <c r="G24" s="94">
        <f t="shared" si="0"/>
        <v>0</v>
      </c>
      <c r="H24" s="188" t="s">
        <v>356</v>
      </c>
      <c r="I24" s="190" t="s">
        <v>376</v>
      </c>
    </row>
    <row r="25" spans="1:9" ht="15.75">
      <c r="A25" s="185"/>
      <c r="B25" s="187"/>
      <c r="C25" s="88" t="s">
        <v>343</v>
      </c>
      <c r="D25" s="89">
        <v>4</v>
      </c>
      <c r="E25" s="93">
        <v>0.66</v>
      </c>
      <c r="F25" s="90">
        <f>1.87+0.003</f>
        <v>1.873</v>
      </c>
      <c r="G25" s="94">
        <f t="shared" si="0"/>
        <v>1.4669999999999999</v>
      </c>
      <c r="H25" s="189"/>
      <c r="I25" s="190"/>
    </row>
    <row r="26" spans="1:9" ht="15.75" customHeight="1">
      <c r="A26" s="184" t="s">
        <v>10</v>
      </c>
      <c r="B26" s="186" t="s">
        <v>357</v>
      </c>
      <c r="C26" s="88" t="s">
        <v>338</v>
      </c>
      <c r="D26" s="89">
        <v>0</v>
      </c>
      <c r="E26" s="93">
        <v>0</v>
      </c>
      <c r="F26" s="90">
        <v>0</v>
      </c>
      <c r="G26" s="94">
        <f t="shared" si="0"/>
        <v>0</v>
      </c>
      <c r="H26" s="188" t="s">
        <v>358</v>
      </c>
      <c r="I26" s="190" t="s">
        <v>377</v>
      </c>
    </row>
    <row r="27" spans="1:9" ht="15.75">
      <c r="A27" s="185"/>
      <c r="B27" s="187"/>
      <c r="C27" s="88" t="s">
        <v>343</v>
      </c>
      <c r="D27" s="89">
        <v>4</v>
      </c>
      <c r="E27" s="93">
        <v>0.47</v>
      </c>
      <c r="F27" s="90">
        <f>1.69+0.04</f>
        <v>1.73</v>
      </c>
      <c r="G27" s="94">
        <f t="shared" si="0"/>
        <v>1.8000000000000003</v>
      </c>
      <c r="H27" s="189"/>
      <c r="I27" s="190"/>
    </row>
    <row r="28" spans="1:9" ht="15.75" customHeight="1">
      <c r="A28" s="184" t="s">
        <v>11</v>
      </c>
      <c r="B28" s="186" t="s">
        <v>359</v>
      </c>
      <c r="C28" s="88" t="s">
        <v>338</v>
      </c>
      <c r="D28" s="89">
        <v>0</v>
      </c>
      <c r="E28" s="93">
        <v>0</v>
      </c>
      <c r="F28" s="90">
        <v>0</v>
      </c>
      <c r="G28" s="94">
        <f t="shared" si="0"/>
        <v>0</v>
      </c>
      <c r="H28" s="188" t="s">
        <v>356</v>
      </c>
      <c r="I28" s="190" t="s">
        <v>378</v>
      </c>
    </row>
    <row r="29" spans="1:9" ht="15.75">
      <c r="A29" s="185"/>
      <c r="B29" s="187"/>
      <c r="C29" s="88" t="s">
        <v>343</v>
      </c>
      <c r="D29" s="89">
        <v>4</v>
      </c>
      <c r="E29" s="93">
        <v>1.324</v>
      </c>
      <c r="F29" s="90">
        <f>8.675+0.028+0.0115+0.0077+0.01</f>
        <v>8.7322</v>
      </c>
      <c r="G29" s="94">
        <v>0</v>
      </c>
      <c r="H29" s="189"/>
      <c r="I29" s="190"/>
    </row>
    <row r="30" spans="1:9" ht="15.75" customHeight="1">
      <c r="A30" s="184" t="s">
        <v>12</v>
      </c>
      <c r="B30" s="186" t="s">
        <v>360</v>
      </c>
      <c r="C30" s="88" t="s">
        <v>338</v>
      </c>
      <c r="D30" s="89">
        <v>0</v>
      </c>
      <c r="E30" s="93">
        <v>0</v>
      </c>
      <c r="F30" s="90">
        <v>0</v>
      </c>
      <c r="G30" s="94">
        <f t="shared" si="0"/>
        <v>0</v>
      </c>
      <c r="H30" s="188" t="s">
        <v>361</v>
      </c>
      <c r="I30" s="190" t="s">
        <v>379</v>
      </c>
    </row>
    <row r="31" spans="1:9" ht="15.75">
      <c r="A31" s="185"/>
      <c r="B31" s="187"/>
      <c r="C31" s="88" t="s">
        <v>343</v>
      </c>
      <c r="D31" s="89">
        <v>4</v>
      </c>
      <c r="E31" s="93">
        <v>0.57</v>
      </c>
      <c r="F31" s="90">
        <v>0.36</v>
      </c>
      <c r="G31" s="94">
        <f t="shared" si="0"/>
        <v>3.0700000000000003</v>
      </c>
      <c r="H31" s="189"/>
      <c r="I31" s="190"/>
    </row>
    <row r="32" spans="1:9" ht="15.75" customHeight="1">
      <c r="A32" s="184" t="s">
        <v>362</v>
      </c>
      <c r="B32" s="186" t="s">
        <v>363</v>
      </c>
      <c r="C32" s="88" t="s">
        <v>338</v>
      </c>
      <c r="D32" s="89">
        <v>0</v>
      </c>
      <c r="E32" s="93">
        <v>0</v>
      </c>
      <c r="F32" s="90">
        <v>0</v>
      </c>
      <c r="G32" s="94">
        <f t="shared" si="0"/>
        <v>0</v>
      </c>
      <c r="H32" s="188" t="s">
        <v>361</v>
      </c>
      <c r="I32" s="190" t="s">
        <v>380</v>
      </c>
    </row>
    <row r="33" spans="1:9" ht="15.75">
      <c r="A33" s="185"/>
      <c r="B33" s="187"/>
      <c r="C33" s="88" t="s">
        <v>340</v>
      </c>
      <c r="D33" s="89">
        <v>6.3</v>
      </c>
      <c r="E33" s="93">
        <v>1.06</v>
      </c>
      <c r="F33" s="90">
        <v>4</v>
      </c>
      <c r="G33" s="94">
        <f t="shared" si="0"/>
        <v>1.2400000000000002</v>
      </c>
      <c r="H33" s="189"/>
      <c r="I33" s="190"/>
    </row>
    <row r="34" spans="1:9" ht="15.75" customHeight="1">
      <c r="A34" s="184" t="s">
        <v>14</v>
      </c>
      <c r="B34" s="186" t="s">
        <v>364</v>
      </c>
      <c r="C34" s="88" t="s">
        <v>338</v>
      </c>
      <c r="D34" s="89">
        <v>0</v>
      </c>
      <c r="E34" s="93">
        <v>0</v>
      </c>
      <c r="F34" s="90">
        <v>0</v>
      </c>
      <c r="G34" s="94">
        <f t="shared" si="0"/>
        <v>0</v>
      </c>
      <c r="H34" s="188" t="s">
        <v>365</v>
      </c>
      <c r="I34" s="190" t="s">
        <v>381</v>
      </c>
    </row>
    <row r="35" spans="1:9" ht="15.75">
      <c r="A35" s="185"/>
      <c r="B35" s="187"/>
      <c r="C35" s="88" t="s">
        <v>343</v>
      </c>
      <c r="D35" s="89">
        <v>6.3</v>
      </c>
      <c r="E35" s="93">
        <v>1.08</v>
      </c>
      <c r="F35" s="90">
        <v>8.95</v>
      </c>
      <c r="G35" s="94">
        <v>0</v>
      </c>
      <c r="H35" s="189"/>
      <c r="I35" s="190"/>
    </row>
  </sheetData>
  <sheetProtection/>
  <mergeCells count="70">
    <mergeCell ref="A34:A35"/>
    <mergeCell ref="B34:B35"/>
    <mergeCell ref="H34:H35"/>
    <mergeCell ref="I34:I3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H30:H31"/>
    <mergeCell ref="I30:I31"/>
    <mergeCell ref="A24:A25"/>
    <mergeCell ref="B24:B25"/>
    <mergeCell ref="H24:H25"/>
    <mergeCell ref="I24:I25"/>
    <mergeCell ref="A26:A27"/>
    <mergeCell ref="B26:B27"/>
    <mergeCell ref="H26:H27"/>
    <mergeCell ref="I26:I27"/>
    <mergeCell ref="A32:A33"/>
    <mergeCell ref="B32:B33"/>
    <mergeCell ref="H32:H33"/>
    <mergeCell ref="I32:I33"/>
    <mergeCell ref="A28:A29"/>
    <mergeCell ref="B28:B29"/>
    <mergeCell ref="H28:H29"/>
    <mergeCell ref="I28:I29"/>
    <mergeCell ref="A30:A31"/>
    <mergeCell ref="B30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  <col min="6" max="6" width="10.28125" style="0" customWidth="1"/>
  </cols>
  <sheetData>
    <row r="1" spans="1:5" ht="48.75" customHeight="1">
      <c r="A1" s="200" t="s">
        <v>451</v>
      </c>
      <c r="B1" s="200"/>
      <c r="C1" s="200"/>
      <c r="D1" s="200"/>
      <c r="E1" s="200"/>
    </row>
    <row r="2" spans="1:5" ht="12" customHeight="1">
      <c r="A2" s="77"/>
      <c r="B2" s="78"/>
      <c r="C2" s="79"/>
      <c r="D2" s="79"/>
      <c r="E2" s="79"/>
    </row>
    <row r="3" spans="1:5" ht="12.75">
      <c r="A3" s="201" t="s">
        <v>164</v>
      </c>
      <c r="B3" s="201" t="s">
        <v>165</v>
      </c>
      <c r="C3" s="202" t="s">
        <v>166</v>
      </c>
      <c r="D3" s="202" t="s">
        <v>167</v>
      </c>
      <c r="E3" s="202" t="s">
        <v>168</v>
      </c>
    </row>
    <row r="4" spans="1:5" ht="114" customHeight="1">
      <c r="A4" s="201"/>
      <c r="B4" s="201"/>
      <c r="C4" s="202"/>
      <c r="D4" s="202"/>
      <c r="E4" s="202"/>
    </row>
    <row r="5" spans="1:5" ht="12.75">
      <c r="A5" s="79" t="s">
        <v>169</v>
      </c>
      <c r="B5" s="82" t="s">
        <v>308</v>
      </c>
      <c r="C5" s="83">
        <f>-198.3-12</f>
        <v>-210.3</v>
      </c>
      <c r="D5" s="83">
        <f>-198.3-12</f>
        <v>-210.3</v>
      </c>
      <c r="E5" s="83">
        <f>-198.3-12</f>
        <v>-210.3</v>
      </c>
    </row>
    <row r="6" spans="1:5" ht="12.75">
      <c r="A6" s="79" t="s">
        <v>170</v>
      </c>
      <c r="B6" s="82" t="s">
        <v>308</v>
      </c>
      <c r="C6" s="83">
        <f>-287.9-80</f>
        <v>-367.9</v>
      </c>
      <c r="D6" s="83">
        <v>-287.9</v>
      </c>
      <c r="E6" s="83">
        <v>-287.9</v>
      </c>
    </row>
    <row r="7" spans="1:5" ht="12.75">
      <c r="A7" s="79" t="s">
        <v>171</v>
      </c>
      <c r="B7" s="82" t="s">
        <v>309</v>
      </c>
      <c r="C7" s="83">
        <v>295.2</v>
      </c>
      <c r="D7" s="84">
        <v>197.5</v>
      </c>
      <c r="E7" s="84">
        <f>197.5-10</f>
        <v>187.5</v>
      </c>
    </row>
    <row r="8" spans="1:5" ht="12.75">
      <c r="A8" s="79" t="s">
        <v>316</v>
      </c>
      <c r="B8" s="82" t="s">
        <v>308</v>
      </c>
      <c r="C8" s="83">
        <v>246.4</v>
      </c>
      <c r="D8" s="83">
        <v>226.4</v>
      </c>
      <c r="E8" s="83">
        <v>-77.2</v>
      </c>
    </row>
    <row r="9" spans="1:5" ht="12.75">
      <c r="A9" s="79" t="s">
        <v>172</v>
      </c>
      <c r="B9" s="82" t="s">
        <v>310</v>
      </c>
      <c r="C9" s="83">
        <v>653.7</v>
      </c>
      <c r="D9" s="83">
        <v>620.7</v>
      </c>
      <c r="E9" s="83">
        <v>620.7</v>
      </c>
    </row>
    <row r="10" spans="1:5" ht="12.75">
      <c r="A10" s="79" t="s">
        <v>173</v>
      </c>
      <c r="B10" s="82" t="s">
        <v>309</v>
      </c>
      <c r="C10" s="85">
        <f>194.1-15-74.5</f>
        <v>104.6</v>
      </c>
      <c r="D10" s="85">
        <f>194.1-15-0.27</f>
        <v>178.82999999999998</v>
      </c>
      <c r="E10" s="85">
        <f>194.1-15-0.27</f>
        <v>178.82999999999998</v>
      </c>
    </row>
    <row r="11" spans="1:5" ht="12.75">
      <c r="A11" s="79" t="s">
        <v>174</v>
      </c>
      <c r="B11" s="82" t="s">
        <v>311</v>
      </c>
      <c r="C11" s="85">
        <v>181.7</v>
      </c>
      <c r="D11" s="85">
        <f>120.2-135</f>
        <v>-14.799999999999997</v>
      </c>
      <c r="E11" s="85">
        <f>120.2-135</f>
        <v>-14.799999999999997</v>
      </c>
    </row>
    <row r="12" spans="1:5" ht="12.75">
      <c r="A12" s="79" t="s">
        <v>175</v>
      </c>
      <c r="B12" s="82" t="s">
        <v>309</v>
      </c>
      <c r="C12" s="85">
        <v>114.7</v>
      </c>
      <c r="D12" s="85">
        <v>114.7</v>
      </c>
      <c r="E12" s="85">
        <v>114.7</v>
      </c>
    </row>
    <row r="13" spans="1:5" ht="12.75">
      <c r="A13" s="79" t="s">
        <v>176</v>
      </c>
      <c r="B13" s="82" t="s">
        <v>308</v>
      </c>
      <c r="C13" s="85">
        <v>236.1</v>
      </c>
      <c r="D13" s="85">
        <v>236.1</v>
      </c>
      <c r="E13" s="85">
        <v>236.1</v>
      </c>
    </row>
    <row r="14" spans="1:5" ht="12.75">
      <c r="A14" s="79" t="s">
        <v>177</v>
      </c>
      <c r="B14" s="82" t="s">
        <v>309</v>
      </c>
      <c r="C14" s="79">
        <v>203.5</v>
      </c>
      <c r="D14" s="79">
        <f>203.5-13.4</f>
        <v>190.1</v>
      </c>
      <c r="E14" s="79">
        <f>266.5-13.4</f>
        <v>253.1</v>
      </c>
    </row>
    <row r="15" spans="1:5" ht="12.75">
      <c r="A15" s="79" t="s">
        <v>178</v>
      </c>
      <c r="B15" s="82" t="s">
        <v>309</v>
      </c>
      <c r="C15" s="79">
        <f>-0.2-20</f>
        <v>-20.2</v>
      </c>
      <c r="D15" s="79">
        <f>-35.2-20</f>
        <v>-55.2</v>
      </c>
      <c r="E15" s="79">
        <f>-35.2-20</f>
        <v>-55.2</v>
      </c>
    </row>
    <row r="16" spans="1:5" ht="12.75">
      <c r="A16" s="79" t="s">
        <v>179</v>
      </c>
      <c r="B16" s="82" t="s">
        <v>309</v>
      </c>
      <c r="C16" s="79">
        <f>192.1-16-0.24</f>
        <v>175.85999999999999</v>
      </c>
      <c r="D16" s="79">
        <f>192.1-6-16-0.24</f>
        <v>169.85999999999999</v>
      </c>
      <c r="E16" s="79">
        <f>192.1-6-16-0.24</f>
        <v>169.85999999999999</v>
      </c>
    </row>
    <row r="17" spans="1:5" ht="12.75">
      <c r="A17" s="79" t="s">
        <v>180</v>
      </c>
      <c r="B17" s="82" t="s">
        <v>309</v>
      </c>
      <c r="C17" s="79">
        <f>-161.5-10-10-17</f>
        <v>-198.5</v>
      </c>
      <c r="D17" s="79">
        <f>-161.5-10-17</f>
        <v>-188.5</v>
      </c>
      <c r="E17" s="79">
        <f>-161.5-17</f>
        <v>-178.5</v>
      </c>
    </row>
    <row r="18" spans="1:5" ht="12.75">
      <c r="A18" s="79" t="s">
        <v>181</v>
      </c>
      <c r="B18" s="82" t="s">
        <v>308</v>
      </c>
      <c r="C18" s="79">
        <f>-95.2-0.12</f>
        <v>-95.32000000000001</v>
      </c>
      <c r="D18" s="79">
        <f>-95.2-0.12</f>
        <v>-95.32000000000001</v>
      </c>
      <c r="E18" s="79">
        <f>-95.2-0.12</f>
        <v>-95.32000000000001</v>
      </c>
    </row>
    <row r="19" spans="1:5" ht="12.75">
      <c r="A19" s="79" t="s">
        <v>182</v>
      </c>
      <c r="B19" s="82" t="s">
        <v>308</v>
      </c>
      <c r="C19" s="79">
        <f>-291.2-6.4</f>
        <v>-297.59999999999997</v>
      </c>
      <c r="D19" s="79">
        <f>-297.6-6.4</f>
        <v>-304</v>
      </c>
      <c r="E19" s="79">
        <f>-297.6-6.4</f>
        <v>-304</v>
      </c>
    </row>
    <row r="20" spans="1:5" ht="12.75">
      <c r="A20" s="79" t="s">
        <v>183</v>
      </c>
      <c r="B20" s="82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2" t="s">
        <v>309</v>
      </c>
      <c r="C21" s="79">
        <v>-246</v>
      </c>
      <c r="D21" s="79">
        <f>-246-0.27</f>
        <v>-246.27</v>
      </c>
      <c r="E21" s="79">
        <f>-246-2-0.27</f>
        <v>-248.27</v>
      </c>
    </row>
    <row r="22" spans="1:5" ht="12.75">
      <c r="A22" s="79" t="s">
        <v>185</v>
      </c>
      <c r="B22" s="82" t="s">
        <v>309</v>
      </c>
      <c r="C22" s="79">
        <f>121.1</f>
        <v>121.1</v>
      </c>
      <c r="D22" s="79">
        <f>133.1-0.168</f>
        <v>132.932</v>
      </c>
      <c r="E22" s="79">
        <f>133.1-0.168-49.39</f>
        <v>83.54199999999999</v>
      </c>
    </row>
    <row r="23" spans="1:5" ht="12.75">
      <c r="A23" s="79" t="s">
        <v>186</v>
      </c>
      <c r="B23" s="82" t="s">
        <v>309</v>
      </c>
      <c r="C23" s="79">
        <f>-40.8-2-10</f>
        <v>-52.8</v>
      </c>
      <c r="D23" s="79">
        <f>-48.3-10-39</f>
        <v>-97.3</v>
      </c>
      <c r="E23" s="79">
        <f>-57.3-12-39</f>
        <v>-108.3</v>
      </c>
    </row>
    <row r="24" spans="1:5" ht="12.75">
      <c r="A24" s="79" t="s">
        <v>187</v>
      </c>
      <c r="B24" s="82" t="s">
        <v>309</v>
      </c>
      <c r="C24" s="79">
        <f>221.7-20</f>
        <v>201.7</v>
      </c>
      <c r="D24" s="79">
        <f>221.7-20-40</f>
        <v>161.7</v>
      </c>
      <c r="E24" s="79">
        <f>221.7-20</f>
        <v>201.7</v>
      </c>
    </row>
    <row r="25" spans="1:5" ht="12.75">
      <c r="A25" s="79" t="s">
        <v>188</v>
      </c>
      <c r="B25" s="82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2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2" t="s">
        <v>308</v>
      </c>
      <c r="C27" s="79">
        <f>92.9-7-15</f>
        <v>70.9</v>
      </c>
      <c r="D27" s="79">
        <f>85.9-7-15</f>
        <v>63.900000000000006</v>
      </c>
      <c r="E27" s="79">
        <f>85.9-7-15</f>
        <v>63.900000000000006</v>
      </c>
    </row>
    <row r="28" spans="1:5" ht="12.75">
      <c r="A28" s="79" t="s">
        <v>191</v>
      </c>
      <c r="B28" s="82" t="s">
        <v>309</v>
      </c>
      <c r="C28" s="79">
        <f>-169.2-15</f>
        <v>-184.2</v>
      </c>
      <c r="D28" s="79">
        <f>-159.5-15</f>
        <v>-174.5</v>
      </c>
      <c r="E28" s="79">
        <f>-159.5-15</f>
        <v>-174.5</v>
      </c>
    </row>
    <row r="29" spans="1:5" ht="12.75">
      <c r="A29" s="79" t="s">
        <v>192</v>
      </c>
      <c r="B29" s="82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2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2" t="s">
        <v>309</v>
      </c>
      <c r="C31" s="79">
        <f>516-3</f>
        <v>513</v>
      </c>
      <c r="D31" s="79">
        <f>516-3</f>
        <v>513</v>
      </c>
      <c r="E31" s="79">
        <f>514-3</f>
        <v>511</v>
      </c>
    </row>
    <row r="32" spans="1:5" ht="12.75">
      <c r="A32" s="79" t="s">
        <v>195</v>
      </c>
      <c r="B32" s="82" t="s">
        <v>312</v>
      </c>
      <c r="C32" s="79">
        <f>-31.8-45</f>
        <v>-76.8</v>
      </c>
      <c r="D32" s="79">
        <f>-46.8-35</f>
        <v>-81.8</v>
      </c>
      <c r="E32" s="79">
        <f>-89.55-35</f>
        <v>-124.55</v>
      </c>
    </row>
    <row r="33" spans="1:5" ht="12.75">
      <c r="A33" s="79" t="s">
        <v>317</v>
      </c>
      <c r="B33" s="82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2" t="s">
        <v>310</v>
      </c>
      <c r="C34" s="79">
        <f>-9.76-15-5.04-0</f>
        <v>-29.799999999999997</v>
      </c>
      <c r="D34" s="79">
        <f>-194.76-15-5.04-20</f>
        <v>-234.79999999999998</v>
      </c>
      <c r="E34" s="79">
        <f>-194.76-15-5.04-20</f>
        <v>-234.79999999999998</v>
      </c>
    </row>
    <row r="35" spans="1:5" ht="12.75">
      <c r="A35" s="79" t="s">
        <v>197</v>
      </c>
      <c r="B35" s="82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2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2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2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2" t="s">
        <v>308</v>
      </c>
      <c r="C39" s="79">
        <v>-227.7</v>
      </c>
      <c r="D39" s="79">
        <v>-244.7</v>
      </c>
      <c r="E39" s="79">
        <f>-244.7-0.168</f>
        <v>-244.868</v>
      </c>
    </row>
    <row r="40" spans="1:5" ht="12.75">
      <c r="A40" s="79" t="s">
        <v>202</v>
      </c>
      <c r="B40" s="82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2" t="s">
        <v>308</v>
      </c>
      <c r="C41" s="79">
        <f>-24.58-2</f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2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2" t="s">
        <v>308</v>
      </c>
      <c r="C43" s="79">
        <v>560</v>
      </c>
      <c r="D43" s="79">
        <v>560</v>
      </c>
      <c r="E43" s="79">
        <f>560-0.13</f>
        <v>559.87</v>
      </c>
    </row>
    <row r="44" spans="1:5" ht="12.75">
      <c r="A44" s="79" t="s">
        <v>206</v>
      </c>
      <c r="B44" s="82" t="s">
        <v>308</v>
      </c>
      <c r="C44" s="85">
        <v>-67.5</v>
      </c>
      <c r="D44" s="79">
        <v>-83.7</v>
      </c>
      <c r="E44" s="79">
        <v>-83.7</v>
      </c>
    </row>
    <row r="45" spans="1:5" ht="12.75">
      <c r="A45" s="79" t="s">
        <v>207</v>
      </c>
      <c r="B45" s="82" t="s">
        <v>308</v>
      </c>
      <c r="C45" s="79">
        <v>1132</v>
      </c>
      <c r="D45" s="79">
        <v>1132</v>
      </c>
      <c r="E45" s="79">
        <f>1130.8-0.27</f>
        <v>1130.53</v>
      </c>
    </row>
    <row r="46" spans="1:5" ht="12.75">
      <c r="A46" s="79" t="s">
        <v>208</v>
      </c>
      <c r="B46" s="82">
        <v>400</v>
      </c>
      <c r="C46" s="79">
        <f>-143.5-2-5-5</f>
        <v>-155.5</v>
      </c>
      <c r="D46" s="79">
        <f>-288.5-2-5-5</f>
        <v>-300.5</v>
      </c>
      <c r="E46" s="79">
        <f>-288.5-5</f>
        <v>-293.5</v>
      </c>
    </row>
    <row r="47" spans="1:5" ht="12.75">
      <c r="A47" s="79" t="s">
        <v>209</v>
      </c>
      <c r="B47" s="82">
        <v>400</v>
      </c>
      <c r="C47" s="79">
        <f>-55-5-20</f>
        <v>-80</v>
      </c>
      <c r="D47" s="79">
        <f>-170-5-20-8</f>
        <v>-203</v>
      </c>
      <c r="E47" s="79">
        <f>-170-15-20-8</f>
        <v>-213</v>
      </c>
    </row>
    <row r="48" spans="1:5" ht="12.75">
      <c r="A48" s="79" t="s">
        <v>210</v>
      </c>
      <c r="B48" s="82">
        <v>63</v>
      </c>
      <c r="C48" s="79">
        <f>234-15</f>
        <v>219</v>
      </c>
      <c r="D48" s="79">
        <f>234-15</f>
        <v>219</v>
      </c>
      <c r="E48" s="79">
        <f>234-15</f>
        <v>219</v>
      </c>
    </row>
    <row r="49" spans="1:5" ht="12.75">
      <c r="A49" s="79" t="s">
        <v>211</v>
      </c>
      <c r="B49" s="82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2">
        <v>630</v>
      </c>
      <c r="C50" s="79">
        <f>-869.4-5</f>
        <v>-874.4</v>
      </c>
      <c r="D50" s="79">
        <f>-913.9-5-15-5-5</f>
        <v>-943.9</v>
      </c>
      <c r="E50" s="79">
        <f>-913.9-5-15-5-5</f>
        <v>-943.9</v>
      </c>
    </row>
    <row r="51" spans="1:5" ht="12.75">
      <c r="A51" s="79" t="s">
        <v>213</v>
      </c>
      <c r="B51" s="82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2">
        <v>400</v>
      </c>
      <c r="C52" s="86">
        <v>160</v>
      </c>
      <c r="D52" s="86">
        <v>160</v>
      </c>
      <c r="E52" s="86">
        <v>160</v>
      </c>
    </row>
    <row r="53" spans="1:5" ht="12.75">
      <c r="A53" s="79" t="s">
        <v>215</v>
      </c>
      <c r="B53" s="82">
        <v>250</v>
      </c>
      <c r="C53" s="86">
        <v>62</v>
      </c>
      <c r="D53" s="86">
        <v>62</v>
      </c>
      <c r="E53" s="86">
        <v>62</v>
      </c>
    </row>
    <row r="54" spans="1:5" ht="12.75">
      <c r="A54" s="79" t="s">
        <v>216</v>
      </c>
      <c r="B54" s="82">
        <v>250</v>
      </c>
      <c r="C54" s="86">
        <v>-118.5</v>
      </c>
      <c r="D54" s="86">
        <v>-118.5</v>
      </c>
      <c r="E54" s="86">
        <v>-118.5</v>
      </c>
    </row>
    <row r="55" spans="1:5" ht="12.75">
      <c r="A55" s="79" t="s">
        <v>217</v>
      </c>
      <c r="B55" s="82">
        <v>250</v>
      </c>
      <c r="C55" s="86">
        <v>152</v>
      </c>
      <c r="D55" s="86">
        <v>152</v>
      </c>
      <c r="E55" s="86">
        <v>152</v>
      </c>
    </row>
    <row r="56" spans="1:5" ht="12.75">
      <c r="A56" s="79" t="s">
        <v>218</v>
      </c>
      <c r="B56" s="82">
        <v>250</v>
      </c>
      <c r="C56" s="86">
        <v>142</v>
      </c>
      <c r="D56" s="86">
        <v>142</v>
      </c>
      <c r="E56" s="86">
        <f>142-10</f>
        <v>132</v>
      </c>
    </row>
    <row r="57" spans="1:5" ht="12.75">
      <c r="A57" s="79" t="s">
        <v>219</v>
      </c>
      <c r="B57" s="82" t="s">
        <v>308</v>
      </c>
      <c r="C57" s="86">
        <v>550</v>
      </c>
      <c r="D57" s="86">
        <v>550</v>
      </c>
      <c r="E57" s="86">
        <v>550</v>
      </c>
    </row>
    <row r="58" spans="1:5" ht="12.75">
      <c r="A58" s="79" t="s">
        <v>220</v>
      </c>
      <c r="B58" s="82">
        <v>400</v>
      </c>
      <c r="C58" s="86">
        <v>60</v>
      </c>
      <c r="D58" s="86">
        <v>60</v>
      </c>
      <c r="E58" s="86">
        <v>60</v>
      </c>
    </row>
    <row r="59" spans="1:5" ht="12.75">
      <c r="A59" s="79" t="s">
        <v>221</v>
      </c>
      <c r="B59" s="82" t="s">
        <v>308</v>
      </c>
      <c r="C59" s="86">
        <v>670</v>
      </c>
      <c r="D59" s="86">
        <v>670</v>
      </c>
      <c r="E59" s="86">
        <v>670</v>
      </c>
    </row>
    <row r="60" spans="1:5" ht="12.75">
      <c r="A60" s="79" t="s">
        <v>222</v>
      </c>
      <c r="B60" s="82" t="s">
        <v>308</v>
      </c>
      <c r="C60" s="86">
        <v>620</v>
      </c>
      <c r="D60" s="86">
        <v>620</v>
      </c>
      <c r="E60" s="86">
        <v>620</v>
      </c>
    </row>
    <row r="61" spans="1:5" ht="12.75">
      <c r="A61" s="79" t="s">
        <v>319</v>
      </c>
      <c r="B61" s="82" t="s">
        <v>320</v>
      </c>
      <c r="C61" s="86">
        <v>0</v>
      </c>
      <c r="D61" s="86">
        <v>0</v>
      </c>
      <c r="E61" s="86">
        <v>0</v>
      </c>
    </row>
    <row r="62" spans="1:5" ht="12.75">
      <c r="A62" s="79" t="s">
        <v>223</v>
      </c>
      <c r="B62" s="82">
        <v>250</v>
      </c>
      <c r="C62" s="79">
        <f>39-25</f>
        <v>14</v>
      </c>
      <c r="D62" s="79">
        <f>39-25</f>
        <v>14</v>
      </c>
      <c r="E62" s="79">
        <f>39-25</f>
        <v>14</v>
      </c>
    </row>
    <row r="63" spans="1:5" ht="12.75">
      <c r="A63" s="79" t="s">
        <v>224</v>
      </c>
      <c r="B63" s="82" t="s">
        <v>308</v>
      </c>
      <c r="C63" s="79">
        <v>382.32</v>
      </c>
      <c r="D63" s="79">
        <v>382.32</v>
      </c>
      <c r="E63" s="79">
        <v>382.32</v>
      </c>
    </row>
    <row r="64" spans="1:5" ht="12.75">
      <c r="A64" s="79" t="s">
        <v>225</v>
      </c>
      <c r="B64" s="82" t="s">
        <v>308</v>
      </c>
      <c r="C64" s="79">
        <f>640-60</f>
        <v>580</v>
      </c>
      <c r="D64" s="79">
        <f>675-60</f>
        <v>615</v>
      </c>
      <c r="E64" s="79">
        <f>675-60</f>
        <v>615</v>
      </c>
    </row>
    <row r="65" spans="1:5" ht="12.75">
      <c r="A65" s="79" t="s">
        <v>321</v>
      </c>
      <c r="B65" s="82" t="s">
        <v>311</v>
      </c>
      <c r="C65" s="79">
        <f>-5-50</f>
        <v>-55</v>
      </c>
      <c r="D65" s="79">
        <v>-15</v>
      </c>
      <c r="E65" s="79">
        <v>-15</v>
      </c>
    </row>
    <row r="66" spans="1:5" ht="12.75">
      <c r="A66" s="79" t="s">
        <v>226</v>
      </c>
      <c r="B66" s="82" t="s">
        <v>311</v>
      </c>
      <c r="C66" s="79">
        <f>274-4</f>
        <v>270</v>
      </c>
      <c r="D66" s="79">
        <f>274-4</f>
        <v>270</v>
      </c>
      <c r="E66" s="79">
        <f>274-6</f>
        <v>268</v>
      </c>
    </row>
    <row r="67" spans="1:5" ht="12.75">
      <c r="A67" s="79" t="s">
        <v>366</v>
      </c>
      <c r="B67" s="82" t="s">
        <v>311</v>
      </c>
      <c r="C67" s="79">
        <f>-198-100</f>
        <v>-298</v>
      </c>
      <c r="D67" s="79">
        <f>-198-200</f>
        <v>-398</v>
      </c>
      <c r="E67" s="79">
        <f>-198-200</f>
        <v>-398</v>
      </c>
    </row>
    <row r="68" spans="1:5" ht="12.75">
      <c r="A68" s="79" t="s">
        <v>227</v>
      </c>
      <c r="B68" s="82" t="s">
        <v>311</v>
      </c>
      <c r="C68" s="79">
        <v>368</v>
      </c>
      <c r="D68" s="79">
        <f>383-15</f>
        <v>368</v>
      </c>
      <c r="E68" s="79">
        <f>383-15</f>
        <v>368</v>
      </c>
    </row>
    <row r="69" spans="1:5" ht="12.75">
      <c r="A69" s="79" t="s">
        <v>228</v>
      </c>
      <c r="B69" s="82">
        <v>400</v>
      </c>
      <c r="C69" s="79">
        <f>-45.5-50</f>
        <v>-95.5</v>
      </c>
      <c r="D69" s="79">
        <f>-49.5-50</f>
        <v>-99.5</v>
      </c>
      <c r="E69" s="79">
        <f>-61.5-50</f>
        <v>-111.5</v>
      </c>
    </row>
    <row r="70" spans="1:5" ht="12.75">
      <c r="A70" s="79" t="s">
        <v>229</v>
      </c>
      <c r="B70" s="82">
        <v>400</v>
      </c>
      <c r="C70" s="79">
        <f>-8-50</f>
        <v>-58</v>
      </c>
      <c r="D70" s="79">
        <f>-8-50</f>
        <v>-58</v>
      </c>
      <c r="E70" s="79">
        <f>-8-50</f>
        <v>-58</v>
      </c>
    </row>
    <row r="71" spans="1:5" ht="12.75">
      <c r="A71" s="79" t="s">
        <v>230</v>
      </c>
      <c r="B71" s="82">
        <v>250</v>
      </c>
      <c r="C71" s="79">
        <f>0-40</f>
        <v>-40</v>
      </c>
      <c r="D71" s="79">
        <v>-40</v>
      </c>
      <c r="E71" s="79">
        <v>-40</v>
      </c>
    </row>
    <row r="72" spans="1:5" ht="12.75">
      <c r="A72" s="79" t="s">
        <v>231</v>
      </c>
      <c r="B72" s="82">
        <v>160</v>
      </c>
      <c r="C72" s="79">
        <f>33-21-15-6</f>
        <v>-9</v>
      </c>
      <c r="D72" s="79">
        <f>27-15-6</f>
        <v>6</v>
      </c>
      <c r="E72" s="79">
        <f>27-6</f>
        <v>21</v>
      </c>
    </row>
    <row r="73" spans="1:5" ht="12.75">
      <c r="A73" s="79" t="s">
        <v>232</v>
      </c>
      <c r="B73" s="82">
        <v>250</v>
      </c>
      <c r="C73" s="79">
        <f>-459.5-10-7-4</f>
        <v>-480.5</v>
      </c>
      <c r="D73" s="79">
        <f>-419.5-10-7-4</f>
        <v>-440.5</v>
      </c>
      <c r="E73" s="79">
        <f>-419.5-4</f>
        <v>-423.5</v>
      </c>
    </row>
    <row r="74" spans="1:5" ht="12.75">
      <c r="A74" s="79" t="s">
        <v>233</v>
      </c>
      <c r="B74" s="82">
        <v>250</v>
      </c>
      <c r="C74" s="79">
        <f>-153.9-8-5-8-5</f>
        <v>-179.9</v>
      </c>
      <c r="D74" s="79">
        <f>-105.8-8-5-5</f>
        <v>-123.8</v>
      </c>
      <c r="E74" s="79">
        <f>-118.8-8-5-5-5</f>
        <v>-141.8</v>
      </c>
    </row>
    <row r="75" spans="1:5" ht="12.75">
      <c r="A75" s="79" t="s">
        <v>452</v>
      </c>
      <c r="B75" s="82">
        <v>250</v>
      </c>
      <c r="C75" s="79">
        <f>-34-10</f>
        <v>-44</v>
      </c>
      <c r="D75" s="79">
        <f>-34-8</f>
        <v>-42</v>
      </c>
      <c r="E75" s="79">
        <f>-34-8</f>
        <v>-42</v>
      </c>
    </row>
    <row r="76" spans="1:5" ht="12.75">
      <c r="A76" s="79" t="s">
        <v>234</v>
      </c>
      <c r="B76" s="82" t="s">
        <v>308</v>
      </c>
      <c r="C76" s="79">
        <f>249.5-100-18-5</f>
        <v>126.5</v>
      </c>
      <c r="D76" s="79">
        <f>234.5-108-10</f>
        <v>116.5</v>
      </c>
      <c r="E76" s="79">
        <f>234.5-108-10</f>
        <v>116.5</v>
      </c>
    </row>
    <row r="77" spans="1:5" ht="12.75">
      <c r="A77" s="79" t="s">
        <v>235</v>
      </c>
      <c r="B77" s="82">
        <v>250</v>
      </c>
      <c r="C77" s="79">
        <f>92-5-10-4-5-3</f>
        <v>65</v>
      </c>
      <c r="D77" s="79">
        <f>74-15-5-9-15-8</f>
        <v>22</v>
      </c>
      <c r="E77" s="79">
        <f>74-15-9-9-15-15-8</f>
        <v>3</v>
      </c>
    </row>
    <row r="78" spans="1:5" ht="12.75">
      <c r="A78" s="79" t="s">
        <v>236</v>
      </c>
      <c r="B78" s="82" t="s">
        <v>311</v>
      </c>
      <c r="C78" s="79">
        <v>-176</v>
      </c>
      <c r="D78" s="79">
        <v>-176</v>
      </c>
      <c r="E78" s="79">
        <v>-176</v>
      </c>
    </row>
    <row r="79" spans="1:5" ht="12.75">
      <c r="A79" s="79" t="s">
        <v>237</v>
      </c>
      <c r="B79" s="82">
        <v>630</v>
      </c>
      <c r="C79" s="79">
        <v>-168</v>
      </c>
      <c r="D79" s="79">
        <v>-168</v>
      </c>
      <c r="E79" s="79">
        <v>-168</v>
      </c>
    </row>
    <row r="80" spans="1:5" ht="12.75">
      <c r="A80" s="79" t="s">
        <v>238</v>
      </c>
      <c r="B80" s="82" t="s">
        <v>308</v>
      </c>
      <c r="C80" s="79">
        <v>380</v>
      </c>
      <c r="D80" s="79">
        <v>380</v>
      </c>
      <c r="E80" s="79">
        <v>380</v>
      </c>
    </row>
    <row r="81" spans="1:5" ht="12.75">
      <c r="A81" s="79" t="s">
        <v>322</v>
      </c>
      <c r="B81" s="82" t="s">
        <v>309</v>
      </c>
      <c r="C81" s="79">
        <f>1028-0.38</f>
        <v>1027.62</v>
      </c>
      <c r="D81" s="79">
        <f>1028-0.38</f>
        <v>1027.62</v>
      </c>
      <c r="E81" s="79">
        <f>1028-0.38</f>
        <v>1027.62</v>
      </c>
    </row>
    <row r="82" spans="1:5" ht="12.75">
      <c r="A82" s="79" t="s">
        <v>239</v>
      </c>
      <c r="B82" s="82" t="s">
        <v>309</v>
      </c>
      <c r="C82" s="79">
        <v>838</v>
      </c>
      <c r="D82" s="79">
        <v>838</v>
      </c>
      <c r="E82" s="79">
        <v>838</v>
      </c>
    </row>
    <row r="83" spans="1:5" ht="12.75">
      <c r="A83" s="79" t="s">
        <v>240</v>
      </c>
      <c r="B83" s="82">
        <v>400</v>
      </c>
      <c r="C83" s="79">
        <f>-354.7-41-14-3-2</f>
        <v>-414.7</v>
      </c>
      <c r="D83" s="79">
        <f>-413.2-49-10-3-2</f>
        <v>-477.2</v>
      </c>
      <c r="E83" s="79">
        <f>-433.2-49-10-3-18</f>
        <v>-513.2</v>
      </c>
    </row>
    <row r="84" spans="1:5" ht="12.75">
      <c r="A84" s="79" t="s">
        <v>323</v>
      </c>
      <c r="B84" s="82">
        <v>400</v>
      </c>
      <c r="C84" s="79">
        <f>-1.5-15-8-25-5</f>
        <v>-54.5</v>
      </c>
      <c r="D84" s="79">
        <f>-1.5-15-18-7-5-8</f>
        <v>-54.5</v>
      </c>
      <c r="E84" s="79">
        <f>-1.5-15-25-5-8</f>
        <v>-54.5</v>
      </c>
    </row>
    <row r="85" spans="1:5" ht="12.75">
      <c r="A85" s="79" t="s">
        <v>324</v>
      </c>
      <c r="B85" s="82">
        <v>400</v>
      </c>
      <c r="C85" s="79">
        <f>-329-5-13-15</f>
        <v>-362</v>
      </c>
      <c r="D85" s="79">
        <f>-354-15-28</f>
        <v>-397</v>
      </c>
      <c r="E85" s="79">
        <f>-354-15-28</f>
        <v>-397</v>
      </c>
    </row>
    <row r="86" spans="1:5" ht="12.75">
      <c r="A86" s="79" t="s">
        <v>241</v>
      </c>
      <c r="B86" s="82" t="s">
        <v>311</v>
      </c>
      <c r="C86" s="79">
        <v>-176.5</v>
      </c>
      <c r="D86" s="79">
        <v>-176.5</v>
      </c>
      <c r="E86" s="79">
        <v>-176.5</v>
      </c>
    </row>
    <row r="87" spans="1:5" ht="12.75">
      <c r="A87" s="79" t="s">
        <v>242</v>
      </c>
      <c r="B87" s="82">
        <v>400</v>
      </c>
      <c r="C87" s="79">
        <v>250</v>
      </c>
      <c r="D87" s="79">
        <v>250</v>
      </c>
      <c r="E87" s="79">
        <v>250</v>
      </c>
    </row>
    <row r="88" spans="1:5" ht="12.75">
      <c r="A88" s="79" t="s">
        <v>243</v>
      </c>
      <c r="B88" s="82">
        <v>400</v>
      </c>
      <c r="C88" s="79">
        <f>-92-5-4-4-4</f>
        <v>-109</v>
      </c>
      <c r="D88" s="79">
        <f>-178-48-5-1-4-4-4</f>
        <v>-244</v>
      </c>
      <c r="E88" s="79">
        <f>-178-8-48-6-4-4</f>
        <v>-248</v>
      </c>
    </row>
    <row r="89" spans="1:5" ht="12.75">
      <c r="A89" s="79" t="s">
        <v>244</v>
      </c>
      <c r="B89" s="82">
        <v>250</v>
      </c>
      <c r="C89" s="79">
        <v>142</v>
      </c>
      <c r="D89" s="79">
        <v>140</v>
      </c>
      <c r="E89" s="79">
        <v>140</v>
      </c>
    </row>
    <row r="90" spans="1:5" ht="12.75">
      <c r="A90" s="79" t="s">
        <v>245</v>
      </c>
      <c r="B90" s="82">
        <v>250</v>
      </c>
      <c r="C90" s="79">
        <f>-294-95-28-5-5</f>
        <v>-427</v>
      </c>
      <c r="D90" s="79">
        <f>-376-95-13-7-5-7-10-10-20</f>
        <v>-543</v>
      </c>
      <c r="E90" s="79">
        <f>-316-89-13-12-9-12-10-10-20</f>
        <v>-491</v>
      </c>
    </row>
    <row r="91" spans="1:5" ht="12.75">
      <c r="A91" s="79" t="s">
        <v>325</v>
      </c>
      <c r="B91" s="82" t="s">
        <v>311</v>
      </c>
      <c r="C91" s="79">
        <v>-225</v>
      </c>
      <c r="D91" s="79">
        <f>-165-30</f>
        <v>-195</v>
      </c>
      <c r="E91" s="79">
        <v>-195</v>
      </c>
    </row>
    <row r="92" spans="1:5" ht="12.75">
      <c r="A92" s="79" t="s">
        <v>246</v>
      </c>
      <c r="B92" s="82">
        <v>400</v>
      </c>
      <c r="C92" s="79">
        <f>-275-10-3-7-10</f>
        <v>-305</v>
      </c>
      <c r="D92" s="79">
        <f>-306.6-32-3-7</f>
        <v>-348.6</v>
      </c>
      <c r="E92" s="79">
        <f>-306.6-35-7</f>
        <v>-348.6</v>
      </c>
    </row>
    <row r="93" spans="1:5" ht="12.75">
      <c r="A93" s="79" t="s">
        <v>247</v>
      </c>
      <c r="B93" s="82" t="s">
        <v>308</v>
      </c>
      <c r="C93" s="79">
        <v>754</v>
      </c>
      <c r="D93" s="79">
        <v>754</v>
      </c>
      <c r="E93" s="79">
        <v>754</v>
      </c>
    </row>
    <row r="94" spans="1:5" ht="12.75">
      <c r="A94" s="79" t="s">
        <v>248</v>
      </c>
      <c r="B94" s="82">
        <v>250</v>
      </c>
      <c r="C94" s="79">
        <f>-73.5-10-10-10-3-5</f>
        <v>-111.5</v>
      </c>
      <c r="D94" s="79">
        <f>-101.5-25-10-10-3-5</f>
        <v>-154.5</v>
      </c>
      <c r="E94" s="79">
        <f>-101.5-25-10-10-5-3</f>
        <v>-154.5</v>
      </c>
    </row>
    <row r="95" spans="1:5" ht="12.75">
      <c r="A95" s="79" t="s">
        <v>249</v>
      </c>
      <c r="B95" s="82">
        <v>250</v>
      </c>
      <c r="C95" s="79">
        <v>53</v>
      </c>
      <c r="D95" s="79">
        <v>48</v>
      </c>
      <c r="E95" s="79">
        <v>48</v>
      </c>
    </row>
    <row r="96" spans="1:5" ht="12.75">
      <c r="A96" s="79" t="s">
        <v>250</v>
      </c>
      <c r="B96" s="82">
        <v>100</v>
      </c>
      <c r="C96" s="79">
        <v>37</v>
      </c>
      <c r="D96" s="79">
        <v>7</v>
      </c>
      <c r="E96" s="79">
        <v>7</v>
      </c>
    </row>
    <row r="97" spans="1:5" ht="12.75">
      <c r="A97" s="79" t="s">
        <v>251</v>
      </c>
      <c r="B97" s="82">
        <v>100</v>
      </c>
      <c r="C97" s="79">
        <v>10</v>
      </c>
      <c r="D97" s="79">
        <v>10</v>
      </c>
      <c r="E97" s="79">
        <v>10</v>
      </c>
    </row>
    <row r="98" spans="1:5" ht="12.75">
      <c r="A98" s="79" t="s">
        <v>326</v>
      </c>
      <c r="B98" s="82">
        <v>250</v>
      </c>
      <c r="C98" s="86">
        <f>131.8-5-5-33-10</f>
        <v>78.80000000000001</v>
      </c>
      <c r="D98" s="79">
        <f>108.8-10-33-10</f>
        <v>55.8</v>
      </c>
      <c r="E98" s="79">
        <f>108.8-5-33-10</f>
        <v>60.8</v>
      </c>
    </row>
    <row r="99" spans="1:5" ht="12.75">
      <c r="A99" s="79" t="s">
        <v>327</v>
      </c>
      <c r="B99" s="82">
        <v>160</v>
      </c>
      <c r="C99" s="79">
        <v>69.2</v>
      </c>
      <c r="D99" s="79">
        <f>89.2-3</f>
        <v>86.2</v>
      </c>
      <c r="E99" s="79">
        <f>89.2-3</f>
        <v>86.2</v>
      </c>
    </row>
    <row r="100" spans="1:5" ht="12.75">
      <c r="A100" s="79" t="s">
        <v>252</v>
      </c>
      <c r="B100" s="82">
        <v>250</v>
      </c>
      <c r="C100" s="79">
        <v>21.5</v>
      </c>
      <c r="D100" s="79">
        <v>-3.5</v>
      </c>
      <c r="E100" s="79">
        <v>-3.5</v>
      </c>
    </row>
    <row r="101" spans="1:5" ht="12.75">
      <c r="A101" s="79" t="s">
        <v>253</v>
      </c>
      <c r="B101" s="82" t="s">
        <v>308</v>
      </c>
      <c r="C101" s="79">
        <v>141.3</v>
      </c>
      <c r="D101" s="79">
        <v>141.3</v>
      </c>
      <c r="E101" s="79">
        <v>141.3</v>
      </c>
    </row>
    <row r="102" spans="1:5" ht="12.75">
      <c r="A102" s="79" t="s">
        <v>328</v>
      </c>
      <c r="B102" s="82" t="s">
        <v>308</v>
      </c>
      <c r="C102" s="79">
        <v>681.1</v>
      </c>
      <c r="D102" s="79">
        <v>681.1</v>
      </c>
      <c r="E102" s="79">
        <v>681.1</v>
      </c>
    </row>
    <row r="103" spans="1:5" ht="12.75">
      <c r="A103" s="79" t="s">
        <v>254</v>
      </c>
      <c r="B103" s="82" t="s">
        <v>308</v>
      </c>
      <c r="C103" s="79">
        <v>655</v>
      </c>
      <c r="D103" s="79">
        <v>655</v>
      </c>
      <c r="E103" s="79">
        <v>655</v>
      </c>
    </row>
    <row r="104" spans="1:5" ht="12.75">
      <c r="A104" s="79" t="s">
        <v>255</v>
      </c>
      <c r="B104" s="82" t="s">
        <v>311</v>
      </c>
      <c r="C104" s="79">
        <v>320</v>
      </c>
      <c r="D104" s="79">
        <v>58</v>
      </c>
      <c r="E104" s="79">
        <v>58</v>
      </c>
    </row>
    <row r="105" spans="1:5" ht="12.75">
      <c r="A105" s="79" t="s">
        <v>256</v>
      </c>
      <c r="B105" s="82">
        <v>400</v>
      </c>
      <c r="C105" s="79">
        <v>-40</v>
      </c>
      <c r="D105" s="79">
        <v>-40</v>
      </c>
      <c r="E105" s="79">
        <v>-40</v>
      </c>
    </row>
    <row r="106" spans="1:5" ht="12.75">
      <c r="A106" s="79" t="s">
        <v>257</v>
      </c>
      <c r="B106" s="82">
        <v>250</v>
      </c>
      <c r="C106" s="79">
        <v>-31.52</v>
      </c>
      <c r="D106" s="79">
        <v>-31.52</v>
      </c>
      <c r="E106" s="79">
        <v>-31.52</v>
      </c>
    </row>
    <row r="107" spans="1:5" ht="12.75">
      <c r="A107" s="79" t="s">
        <v>258</v>
      </c>
      <c r="B107" s="82">
        <v>250</v>
      </c>
      <c r="C107" s="79">
        <v>-68</v>
      </c>
      <c r="D107" s="79">
        <v>-68</v>
      </c>
      <c r="E107" s="79">
        <v>-68</v>
      </c>
    </row>
    <row r="108" spans="1:5" ht="12.75">
      <c r="A108" s="79" t="s">
        <v>259</v>
      </c>
      <c r="B108" s="82">
        <v>400</v>
      </c>
      <c r="C108" s="79">
        <v>-361</v>
      </c>
      <c r="D108" s="79">
        <v>-361</v>
      </c>
      <c r="E108" s="79">
        <v>-361</v>
      </c>
    </row>
    <row r="109" spans="1:5" ht="12.75">
      <c r="A109" s="79" t="s">
        <v>260</v>
      </c>
      <c r="B109" s="82">
        <v>250</v>
      </c>
      <c r="C109" s="79">
        <f>59.9-10.8</f>
        <v>49.099999999999994</v>
      </c>
      <c r="D109" s="79">
        <f>44.9-10.8</f>
        <v>34.099999999999994</v>
      </c>
      <c r="E109" s="79">
        <f>44.9-10.8</f>
        <v>34.099999999999994</v>
      </c>
    </row>
    <row r="110" spans="1:5" ht="12.75">
      <c r="A110" s="79" t="s">
        <v>261</v>
      </c>
      <c r="B110" s="82">
        <v>630</v>
      </c>
      <c r="C110" s="79">
        <v>190</v>
      </c>
      <c r="D110" s="79">
        <v>190</v>
      </c>
      <c r="E110" s="79">
        <v>-60</v>
      </c>
    </row>
    <row r="111" spans="1:5" ht="12.75">
      <c r="A111" s="79" t="s">
        <v>262</v>
      </c>
      <c r="B111" s="82">
        <v>630</v>
      </c>
      <c r="C111" s="79">
        <v>190</v>
      </c>
      <c r="D111" s="79">
        <v>190</v>
      </c>
      <c r="E111" s="79">
        <v>31</v>
      </c>
    </row>
    <row r="112" spans="1:5" ht="12.75">
      <c r="A112" s="79" t="s">
        <v>263</v>
      </c>
      <c r="B112" s="82">
        <v>160</v>
      </c>
      <c r="C112" s="79">
        <f>5-15</f>
        <v>-10</v>
      </c>
      <c r="D112" s="79">
        <v>4</v>
      </c>
      <c r="E112" s="79">
        <v>4</v>
      </c>
    </row>
    <row r="113" spans="1:5" ht="12.75">
      <c r="A113" s="79" t="s">
        <v>264</v>
      </c>
      <c r="B113" s="82" t="s">
        <v>308</v>
      </c>
      <c r="C113" s="79">
        <v>800</v>
      </c>
      <c r="D113" s="79">
        <v>800</v>
      </c>
      <c r="E113" s="79">
        <v>800</v>
      </c>
    </row>
    <row r="114" spans="1:5" ht="12.75">
      <c r="A114" s="79" t="s">
        <v>265</v>
      </c>
      <c r="B114" s="82">
        <v>160</v>
      </c>
      <c r="C114" s="79">
        <v>79</v>
      </c>
      <c r="D114" s="79">
        <v>42</v>
      </c>
      <c r="E114" s="79">
        <v>42</v>
      </c>
    </row>
    <row r="115" spans="1:5" ht="12.75">
      <c r="A115" s="79" t="s">
        <v>266</v>
      </c>
      <c r="B115" s="82">
        <v>160</v>
      </c>
      <c r="C115" s="79">
        <v>70</v>
      </c>
      <c r="D115" s="79">
        <v>70</v>
      </c>
      <c r="E115" s="79">
        <f>70-3</f>
        <v>67</v>
      </c>
    </row>
    <row r="116" spans="1:5" ht="12.75">
      <c r="A116" s="79" t="s">
        <v>267</v>
      </c>
      <c r="B116" s="82">
        <v>400</v>
      </c>
      <c r="C116" s="79">
        <f>-78.5-15</f>
        <v>-93.5</v>
      </c>
      <c r="D116" s="79">
        <v>-78.5</v>
      </c>
      <c r="E116" s="79">
        <v>-78.5</v>
      </c>
    </row>
    <row r="117" spans="1:5" ht="12.75">
      <c r="A117" s="79" t="s">
        <v>268</v>
      </c>
      <c r="B117" s="82" t="s">
        <v>311</v>
      </c>
      <c r="C117" s="79">
        <v>-71</v>
      </c>
      <c r="D117" s="79">
        <v>-96</v>
      </c>
      <c r="E117" s="79">
        <v>-96</v>
      </c>
    </row>
    <row r="118" spans="1:5" ht="12.75">
      <c r="A118" s="79" t="s">
        <v>269</v>
      </c>
      <c r="B118" s="87">
        <v>250</v>
      </c>
      <c r="C118" s="79">
        <v>-129.2</v>
      </c>
      <c r="D118" s="79">
        <v>-129.2</v>
      </c>
      <c r="E118" s="79">
        <v>-129.2</v>
      </c>
    </row>
    <row r="119" spans="1:5" ht="12.75">
      <c r="A119" s="79" t="s">
        <v>270</v>
      </c>
      <c r="B119" s="82">
        <v>630</v>
      </c>
      <c r="C119" s="85">
        <f>-817.55-10</f>
        <v>-827.55</v>
      </c>
      <c r="D119" s="85">
        <f>-817.55-10</f>
        <v>-827.55</v>
      </c>
      <c r="E119" s="85">
        <f>-817.55-10</f>
        <v>-827.55</v>
      </c>
    </row>
    <row r="120" spans="1:5" ht="12.75">
      <c r="A120" s="79" t="s">
        <v>271</v>
      </c>
      <c r="B120" s="82">
        <v>250</v>
      </c>
      <c r="C120" s="79">
        <v>-302.1</v>
      </c>
      <c r="D120" s="79">
        <v>-302.1</v>
      </c>
      <c r="E120" s="79">
        <v>-302.1</v>
      </c>
    </row>
    <row r="121" spans="1:5" ht="12.75">
      <c r="A121" s="79" t="s">
        <v>272</v>
      </c>
      <c r="B121" s="82">
        <v>160</v>
      </c>
      <c r="C121" s="79">
        <v>-95.7</v>
      </c>
      <c r="D121" s="79">
        <v>-95.7</v>
      </c>
      <c r="E121" s="79">
        <v>-95.7</v>
      </c>
    </row>
    <row r="122" spans="1:5" ht="12.75">
      <c r="A122" s="79" t="s">
        <v>273</v>
      </c>
      <c r="B122" s="82">
        <v>400</v>
      </c>
      <c r="C122" s="79">
        <v>60</v>
      </c>
      <c r="D122" s="79">
        <v>60</v>
      </c>
      <c r="E122" s="79">
        <v>37</v>
      </c>
    </row>
    <row r="123" spans="1:5" ht="12.75">
      <c r="A123" s="79" t="s">
        <v>274</v>
      </c>
      <c r="B123" s="82">
        <v>400</v>
      </c>
      <c r="C123" s="79">
        <v>60</v>
      </c>
      <c r="D123" s="79">
        <v>60</v>
      </c>
      <c r="E123" s="79">
        <v>-33</v>
      </c>
    </row>
    <row r="124" spans="1:5" ht="12.75">
      <c r="A124" s="79" t="s">
        <v>275</v>
      </c>
      <c r="B124" s="82">
        <v>400</v>
      </c>
      <c r="C124" s="79">
        <f>-160-25</f>
        <v>-185</v>
      </c>
      <c r="D124" s="79">
        <v>-205</v>
      </c>
      <c r="E124" s="79">
        <v>-205</v>
      </c>
    </row>
    <row r="125" spans="1:5" ht="12.75">
      <c r="A125" s="79" t="s">
        <v>276</v>
      </c>
      <c r="B125" s="82">
        <v>630</v>
      </c>
      <c r="C125" s="79">
        <v>-76</v>
      </c>
      <c r="D125" s="79">
        <f>-76-40</f>
        <v>-116</v>
      </c>
      <c r="E125" s="79">
        <v>-86</v>
      </c>
    </row>
    <row r="126" spans="1:5" ht="12.75">
      <c r="A126" s="79" t="s">
        <v>277</v>
      </c>
      <c r="B126" s="82">
        <v>400</v>
      </c>
      <c r="C126" s="79">
        <v>-55.4</v>
      </c>
      <c r="D126" s="79">
        <f>-55.4</f>
        <v>-55.4</v>
      </c>
      <c r="E126" s="79">
        <v>-55.4</v>
      </c>
    </row>
    <row r="127" spans="1:5" ht="12.75">
      <c r="A127" s="79" t="s">
        <v>278</v>
      </c>
      <c r="B127" s="82">
        <v>250</v>
      </c>
      <c r="C127" s="79">
        <v>-123</v>
      </c>
      <c r="D127" s="79">
        <v>-123</v>
      </c>
      <c r="E127" s="79">
        <v>-123</v>
      </c>
    </row>
    <row r="128" spans="1:5" ht="12.75">
      <c r="A128" s="79" t="s">
        <v>279</v>
      </c>
      <c r="B128" s="82">
        <v>160</v>
      </c>
      <c r="C128" s="79">
        <v>-31</v>
      </c>
      <c r="D128" s="79">
        <v>-46</v>
      </c>
      <c r="E128" s="79">
        <v>-46</v>
      </c>
    </row>
    <row r="129" spans="1:5" ht="12.75">
      <c r="A129" s="79" t="s">
        <v>280</v>
      </c>
      <c r="B129" s="82">
        <v>400</v>
      </c>
      <c r="C129" s="79">
        <v>-60</v>
      </c>
      <c r="D129" s="79">
        <v>-60</v>
      </c>
      <c r="E129" s="79">
        <v>-60</v>
      </c>
    </row>
    <row r="130" spans="1:5" ht="12.75">
      <c r="A130" s="79" t="s">
        <v>281</v>
      </c>
      <c r="B130" s="82">
        <v>400</v>
      </c>
      <c r="C130" s="79">
        <v>47</v>
      </c>
      <c r="D130" s="79">
        <v>48</v>
      </c>
      <c r="E130" s="79">
        <v>-309</v>
      </c>
    </row>
    <row r="131" spans="1:5" ht="12.75">
      <c r="A131" s="79" t="s">
        <v>252</v>
      </c>
      <c r="B131" s="82">
        <v>160</v>
      </c>
      <c r="C131" s="79">
        <f>31-1.5</f>
        <v>29.5</v>
      </c>
      <c r="D131" s="79">
        <f>31-1.5</f>
        <v>29.5</v>
      </c>
      <c r="E131" s="79">
        <v>31</v>
      </c>
    </row>
    <row r="132" spans="1:5" ht="12.75">
      <c r="A132" s="79" t="s">
        <v>282</v>
      </c>
      <c r="B132" s="82">
        <v>400</v>
      </c>
      <c r="C132" s="79">
        <v>-283.4</v>
      </c>
      <c r="D132" s="79">
        <v>-283.4</v>
      </c>
      <c r="E132" s="79">
        <v>-283.4</v>
      </c>
    </row>
    <row r="133" spans="1:5" ht="12.75">
      <c r="A133" s="79" t="s">
        <v>283</v>
      </c>
      <c r="B133" s="82">
        <v>250</v>
      </c>
      <c r="C133" s="79">
        <v>-153</v>
      </c>
      <c r="D133" s="79">
        <f>-153-6.4</f>
        <v>-159.4</v>
      </c>
      <c r="E133" s="79">
        <v>-153</v>
      </c>
    </row>
    <row r="134" spans="1:5" ht="12.75">
      <c r="A134" s="79" t="s">
        <v>284</v>
      </c>
      <c r="B134" s="82">
        <v>400</v>
      </c>
      <c r="C134" s="79">
        <v>-167</v>
      </c>
      <c r="D134" s="79">
        <v>-167</v>
      </c>
      <c r="E134" s="79">
        <v>-167</v>
      </c>
    </row>
    <row r="135" spans="1:5" ht="12.75">
      <c r="A135" s="79" t="s">
        <v>285</v>
      </c>
      <c r="B135" s="82">
        <v>250</v>
      </c>
      <c r="C135" s="79">
        <v>102</v>
      </c>
      <c r="D135" s="79">
        <v>102</v>
      </c>
      <c r="E135" s="79">
        <v>57</v>
      </c>
    </row>
    <row r="136" spans="1:5" ht="12.75">
      <c r="A136" s="79" t="s">
        <v>286</v>
      </c>
      <c r="B136" s="82">
        <v>400</v>
      </c>
      <c r="C136" s="79">
        <v>78</v>
      </c>
      <c r="D136" s="79">
        <v>78</v>
      </c>
      <c r="E136" s="79">
        <v>78</v>
      </c>
    </row>
    <row r="137" spans="1:5" ht="12.75">
      <c r="A137" s="79" t="s">
        <v>287</v>
      </c>
      <c r="B137" s="82">
        <v>400</v>
      </c>
      <c r="C137" s="79">
        <v>135</v>
      </c>
      <c r="D137" s="79">
        <v>135</v>
      </c>
      <c r="E137" s="79">
        <v>135</v>
      </c>
    </row>
    <row r="138" spans="1:5" ht="12.75">
      <c r="A138" s="79" t="s">
        <v>288</v>
      </c>
      <c r="B138" s="82">
        <v>400</v>
      </c>
      <c r="C138" s="79">
        <v>135</v>
      </c>
      <c r="D138" s="79">
        <v>135</v>
      </c>
      <c r="E138" s="79">
        <v>135</v>
      </c>
    </row>
    <row r="139" spans="1:5" ht="12.75">
      <c r="A139" s="79" t="s">
        <v>289</v>
      </c>
      <c r="B139" s="82">
        <v>400</v>
      </c>
      <c r="C139" s="79">
        <v>-40</v>
      </c>
      <c r="D139" s="79">
        <v>-40</v>
      </c>
      <c r="E139" s="79">
        <v>-40</v>
      </c>
    </row>
    <row r="140" spans="1:5" ht="12.75">
      <c r="A140" s="79" t="s">
        <v>290</v>
      </c>
      <c r="B140" s="82">
        <v>630</v>
      </c>
      <c r="C140" s="79">
        <v>20</v>
      </c>
      <c r="D140" s="79">
        <v>20</v>
      </c>
      <c r="E140" s="79">
        <v>20</v>
      </c>
    </row>
    <row r="141" spans="1:5" ht="12.75">
      <c r="A141" s="79" t="s">
        <v>291</v>
      </c>
      <c r="B141" s="82">
        <v>160</v>
      </c>
      <c r="C141" s="79">
        <v>44</v>
      </c>
      <c r="D141" s="79">
        <v>44</v>
      </c>
      <c r="E141" s="79">
        <v>44</v>
      </c>
    </row>
    <row r="142" spans="1:5" ht="12.75">
      <c r="A142" s="79" t="s">
        <v>292</v>
      </c>
      <c r="B142" s="82">
        <v>630</v>
      </c>
      <c r="C142" s="79">
        <v>-176</v>
      </c>
      <c r="D142" s="79">
        <v>-176</v>
      </c>
      <c r="E142" s="79">
        <v>-176</v>
      </c>
    </row>
    <row r="143" spans="1:5" ht="12.75">
      <c r="A143" s="79" t="s">
        <v>293</v>
      </c>
      <c r="B143" s="82">
        <v>250</v>
      </c>
      <c r="C143" s="79">
        <v>-101.5</v>
      </c>
      <c r="D143" s="79">
        <v>101.5</v>
      </c>
      <c r="E143" s="79">
        <v>101.5</v>
      </c>
    </row>
    <row r="144" spans="1:5" ht="12.75">
      <c r="A144" s="79" t="s">
        <v>294</v>
      </c>
      <c r="B144" s="87">
        <v>630</v>
      </c>
      <c r="C144" s="79">
        <v>90</v>
      </c>
      <c r="D144" s="79">
        <v>90</v>
      </c>
      <c r="E144" s="79">
        <v>90</v>
      </c>
    </row>
    <row r="145" spans="1:5" ht="12.75">
      <c r="A145" s="79" t="s">
        <v>295</v>
      </c>
      <c r="B145" s="82">
        <v>250</v>
      </c>
      <c r="C145" s="79">
        <v>-98</v>
      </c>
      <c r="D145" s="79">
        <v>-98</v>
      </c>
      <c r="E145" s="79">
        <v>-98</v>
      </c>
    </row>
    <row r="146" spans="1:5" ht="12.75">
      <c r="A146" s="79" t="s">
        <v>329</v>
      </c>
      <c r="B146" s="82">
        <v>63</v>
      </c>
      <c r="C146" s="79">
        <v>9.5</v>
      </c>
      <c r="D146" s="79">
        <v>9.5</v>
      </c>
      <c r="E146" s="79">
        <v>9.5</v>
      </c>
    </row>
    <row r="147" spans="1:5" ht="12.75">
      <c r="A147" s="79" t="s">
        <v>296</v>
      </c>
      <c r="B147" s="82">
        <v>250</v>
      </c>
      <c r="C147" s="79">
        <v>-38</v>
      </c>
      <c r="D147" s="79">
        <v>-38</v>
      </c>
      <c r="E147" s="79">
        <v>-38</v>
      </c>
    </row>
    <row r="148" spans="1:5" ht="12.75">
      <c r="A148" s="79" t="s">
        <v>297</v>
      </c>
      <c r="B148" s="82">
        <v>250</v>
      </c>
      <c r="C148" s="79">
        <f>91-10</f>
        <v>81</v>
      </c>
      <c r="D148" s="79">
        <f>91-10</f>
        <v>81</v>
      </c>
      <c r="E148" s="79">
        <f>91-10</f>
        <v>81</v>
      </c>
    </row>
    <row r="149" spans="1:5" ht="12.75">
      <c r="A149" s="79" t="s">
        <v>298</v>
      </c>
      <c r="B149" s="82">
        <v>250</v>
      </c>
      <c r="C149" s="79">
        <f>-35.7-7.7</f>
        <v>-43.400000000000006</v>
      </c>
      <c r="D149" s="79">
        <v>-35.7</v>
      </c>
      <c r="E149" s="79">
        <v>-35.7</v>
      </c>
    </row>
    <row r="150" spans="1:5" ht="12.75">
      <c r="A150" s="79" t="s">
        <v>299</v>
      </c>
      <c r="B150" s="82">
        <v>160</v>
      </c>
      <c r="C150" s="79">
        <v>62</v>
      </c>
      <c r="D150" s="79">
        <v>62</v>
      </c>
      <c r="E150" s="79">
        <v>62</v>
      </c>
    </row>
    <row r="151" spans="1:5" ht="12.75">
      <c r="A151" s="79" t="s">
        <v>300</v>
      </c>
      <c r="B151" s="82">
        <v>250</v>
      </c>
      <c r="C151" s="79">
        <v>82</v>
      </c>
      <c r="D151" s="79">
        <v>82</v>
      </c>
      <c r="E151" s="79">
        <v>82</v>
      </c>
    </row>
    <row r="152" spans="1:5" ht="12.75">
      <c r="A152" s="79" t="s">
        <v>330</v>
      </c>
      <c r="B152" s="82" t="s">
        <v>309</v>
      </c>
      <c r="C152" s="79">
        <v>709</v>
      </c>
      <c r="D152" s="79">
        <v>709</v>
      </c>
      <c r="E152" s="79">
        <v>709</v>
      </c>
    </row>
    <row r="153" spans="1:5" ht="12.75">
      <c r="A153" s="79" t="s">
        <v>301</v>
      </c>
      <c r="B153" s="82" t="s">
        <v>308</v>
      </c>
      <c r="C153" s="79">
        <v>270</v>
      </c>
      <c r="D153" s="79">
        <v>270</v>
      </c>
      <c r="E153" s="79">
        <v>270</v>
      </c>
    </row>
    <row r="154" spans="1:5" ht="12.75">
      <c r="A154" s="79" t="s">
        <v>302</v>
      </c>
      <c r="B154" s="82">
        <v>630</v>
      </c>
      <c r="C154" s="79">
        <v>-388.6</v>
      </c>
      <c r="D154" s="79">
        <v>-398.6</v>
      </c>
      <c r="E154" s="79">
        <v>-398.6</v>
      </c>
    </row>
    <row r="155" spans="1:5" ht="12.75">
      <c r="A155" s="79" t="s">
        <v>303</v>
      </c>
      <c r="B155" s="82">
        <v>400</v>
      </c>
      <c r="C155" s="79">
        <v>60</v>
      </c>
      <c r="D155" s="79">
        <v>60</v>
      </c>
      <c r="E155" s="79">
        <v>45</v>
      </c>
    </row>
    <row r="156" spans="1:5" ht="12.75">
      <c r="A156" s="79" t="s">
        <v>304</v>
      </c>
      <c r="B156" s="82" t="s">
        <v>311</v>
      </c>
      <c r="C156" s="79">
        <v>-721.5</v>
      </c>
      <c r="D156" s="79">
        <v>-721.5</v>
      </c>
      <c r="E156" s="79">
        <v>-721.5</v>
      </c>
    </row>
    <row r="157" spans="1:5" ht="12.75">
      <c r="A157" s="79" t="s">
        <v>331</v>
      </c>
      <c r="B157" s="82">
        <v>250</v>
      </c>
      <c r="C157" s="79">
        <f>67-40</f>
        <v>27</v>
      </c>
      <c r="D157" s="79">
        <f>67-40</f>
        <v>27</v>
      </c>
      <c r="E157" s="79">
        <f>67-40</f>
        <v>27</v>
      </c>
    </row>
    <row r="158" spans="1:5" ht="12.75">
      <c r="A158" s="79" t="s">
        <v>332</v>
      </c>
      <c r="B158" s="82">
        <v>400</v>
      </c>
      <c r="C158" s="79">
        <v>11.6</v>
      </c>
      <c r="D158" s="79">
        <f>-3.4-40</f>
        <v>-43.4</v>
      </c>
      <c r="E158" s="79">
        <v>-3.4</v>
      </c>
    </row>
    <row r="159" spans="1:5" ht="12.75">
      <c r="A159" s="79" t="s">
        <v>333</v>
      </c>
      <c r="B159" s="82">
        <v>250</v>
      </c>
      <c r="C159" s="79">
        <f>123.5-5</f>
        <v>118.5</v>
      </c>
      <c r="D159" s="79">
        <v>83.5</v>
      </c>
      <c r="E159" s="79">
        <v>83.5</v>
      </c>
    </row>
    <row r="160" spans="1:5" ht="12.75">
      <c r="A160" s="79" t="s">
        <v>334</v>
      </c>
      <c r="B160" s="82">
        <v>250</v>
      </c>
      <c r="C160" s="79">
        <f>52-25</f>
        <v>27</v>
      </c>
      <c r="D160" s="79">
        <f>-23-25</f>
        <v>-48</v>
      </c>
      <c r="E160" s="79">
        <f>-23-25</f>
        <v>-48</v>
      </c>
    </row>
    <row r="161" spans="1:5" ht="12.75">
      <c r="A161" s="79" t="s">
        <v>335</v>
      </c>
      <c r="B161" s="82">
        <v>250</v>
      </c>
      <c r="C161" s="79">
        <v>-103</v>
      </c>
      <c r="D161" s="79">
        <v>-103</v>
      </c>
      <c r="E161" s="79">
        <v>-103</v>
      </c>
    </row>
    <row r="162" spans="1:5" ht="12.75">
      <c r="A162" s="79" t="s">
        <v>221</v>
      </c>
      <c r="B162" s="82">
        <v>160</v>
      </c>
      <c r="C162" s="79">
        <v>137</v>
      </c>
      <c r="D162" s="79">
        <v>137</v>
      </c>
      <c r="E162" s="79">
        <v>137</v>
      </c>
    </row>
    <row r="163" spans="1:5" ht="12.75">
      <c r="A163" s="79" t="s">
        <v>222</v>
      </c>
      <c r="B163" s="82">
        <v>250</v>
      </c>
      <c r="C163" s="79">
        <v>102</v>
      </c>
      <c r="D163" s="79">
        <v>102</v>
      </c>
      <c r="E163" s="79">
        <v>62</v>
      </c>
    </row>
    <row r="164" spans="1:5" ht="12.75">
      <c r="A164" s="79" t="s">
        <v>305</v>
      </c>
      <c r="B164" s="82" t="s">
        <v>313</v>
      </c>
      <c r="C164" s="79">
        <v>-145</v>
      </c>
      <c r="D164" s="79">
        <v>-145</v>
      </c>
      <c r="E164" s="79">
        <v>-145</v>
      </c>
    </row>
    <row r="165" spans="1:5" ht="12.75">
      <c r="A165" s="79" t="s">
        <v>306</v>
      </c>
      <c r="B165" s="82">
        <v>400</v>
      </c>
      <c r="C165" s="79">
        <v>160</v>
      </c>
      <c r="D165" s="79">
        <v>160</v>
      </c>
      <c r="E165" s="79">
        <v>160</v>
      </c>
    </row>
    <row r="166" spans="1:5" ht="12.75">
      <c r="A166" s="79" t="s">
        <v>307</v>
      </c>
      <c r="B166" s="82">
        <v>400</v>
      </c>
      <c r="C166" s="79">
        <v>160</v>
      </c>
      <c r="D166" s="79">
        <v>160</v>
      </c>
      <c r="E166" s="7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11" sqref="E11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4" t="s">
        <v>453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>
      <c r="A2" s="214" t="s">
        <v>150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>
      <c r="A3" s="216" t="s">
        <v>454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2.75">
      <c r="A4" s="72"/>
      <c r="B4" s="72"/>
      <c r="C4" s="72"/>
      <c r="D4" s="72"/>
      <c r="E4" s="72"/>
      <c r="F4" s="72"/>
      <c r="G4" s="72"/>
      <c r="H4" s="116"/>
      <c r="I4" s="72"/>
      <c r="J4" s="72"/>
      <c r="K4" s="72"/>
      <c r="L4" s="72"/>
      <c r="M4" s="72"/>
    </row>
    <row r="5" spans="1:13" ht="12.75">
      <c r="A5" s="72"/>
      <c r="B5" s="72"/>
      <c r="C5" s="72"/>
      <c r="D5" s="72"/>
      <c r="E5" s="72"/>
      <c r="F5" s="72"/>
      <c r="G5" s="72"/>
      <c r="H5" s="116"/>
      <c r="I5" s="72"/>
      <c r="J5" s="72"/>
      <c r="K5" s="72"/>
      <c r="L5" s="72"/>
      <c r="M5" s="72"/>
    </row>
    <row r="6" spans="1:13" ht="12.75">
      <c r="A6" s="212" t="s">
        <v>151</v>
      </c>
      <c r="B6" s="203" t="s">
        <v>71</v>
      </c>
      <c r="C6" s="207"/>
      <c r="D6" s="206" t="s">
        <v>64</v>
      </c>
      <c r="E6" s="203" t="s">
        <v>79</v>
      </c>
      <c r="F6" s="203" t="s">
        <v>152</v>
      </c>
      <c r="G6" s="73"/>
      <c r="H6" s="208" t="s">
        <v>83</v>
      </c>
      <c r="I6" s="73"/>
      <c r="J6" s="73"/>
      <c r="K6" s="203" t="s">
        <v>80</v>
      </c>
      <c r="L6" s="203" t="s">
        <v>153</v>
      </c>
      <c r="M6" s="203" t="s">
        <v>154</v>
      </c>
    </row>
    <row r="7" spans="1:13" ht="36" customHeight="1">
      <c r="A7" s="213"/>
      <c r="B7" s="207"/>
      <c r="C7" s="207"/>
      <c r="D7" s="206"/>
      <c r="E7" s="207"/>
      <c r="F7" s="207"/>
      <c r="G7" s="73"/>
      <c r="H7" s="209"/>
      <c r="I7" s="73"/>
      <c r="J7" s="73"/>
      <c r="K7" s="207"/>
      <c r="L7" s="203"/>
      <c r="M7" s="203"/>
    </row>
    <row r="8" spans="1:13" ht="24" customHeight="1">
      <c r="A8" s="210">
        <v>1</v>
      </c>
      <c r="B8" s="207" t="s">
        <v>382</v>
      </c>
      <c r="C8" s="207"/>
      <c r="D8" s="91" t="s">
        <v>62</v>
      </c>
      <c r="E8" s="91">
        <v>0</v>
      </c>
      <c r="F8" s="91">
        <v>0</v>
      </c>
      <c r="G8" s="73"/>
      <c r="H8" s="92">
        <v>0</v>
      </c>
      <c r="I8" s="73"/>
      <c r="J8" s="73"/>
      <c r="K8" s="91">
        <v>0</v>
      </c>
      <c r="L8" s="203" t="s">
        <v>383</v>
      </c>
      <c r="M8" s="204">
        <v>42725</v>
      </c>
    </row>
    <row r="9" spans="1:13" ht="22.5" customHeight="1">
      <c r="A9" s="210"/>
      <c r="B9" s="207"/>
      <c r="C9" s="207"/>
      <c r="D9" s="91" t="s">
        <v>60</v>
      </c>
      <c r="E9" s="91">
        <v>6.3</v>
      </c>
      <c r="F9" s="95">
        <f>((28368/24/0.87)+(34272/24/0.87))/1000</f>
        <v>3</v>
      </c>
      <c r="G9" s="73"/>
      <c r="H9" s="110">
        <f>-0.03221+0.2446+(0.015+0-0.7093)+(0.055-0.038+0.05)</f>
        <v>-0.41491</v>
      </c>
      <c r="I9" s="73"/>
      <c r="J9" s="73"/>
      <c r="K9" s="111">
        <f>E9-F9-H9</f>
        <v>3.7149099999999997</v>
      </c>
      <c r="L9" s="203"/>
      <c r="M9" s="205"/>
    </row>
    <row r="10" spans="1:13" ht="24" customHeight="1">
      <c r="A10" s="210">
        <v>2</v>
      </c>
      <c r="B10" s="207" t="s">
        <v>384</v>
      </c>
      <c r="C10" s="207"/>
      <c r="D10" s="91" t="s">
        <v>62</v>
      </c>
      <c r="E10" s="91">
        <v>0</v>
      </c>
      <c r="F10" s="91">
        <v>0</v>
      </c>
      <c r="G10" s="73"/>
      <c r="H10" s="92">
        <v>0</v>
      </c>
      <c r="I10" s="73"/>
      <c r="J10" s="73"/>
      <c r="K10" s="91">
        <v>0</v>
      </c>
      <c r="L10" s="203" t="s">
        <v>383</v>
      </c>
      <c r="M10" s="204">
        <v>42725</v>
      </c>
    </row>
    <row r="11" spans="1:13" ht="22.5" customHeight="1">
      <c r="A11" s="210"/>
      <c r="B11" s="207"/>
      <c r="C11" s="207"/>
      <c r="D11" s="91" t="s">
        <v>60</v>
      </c>
      <c r="E11" s="91">
        <v>4</v>
      </c>
      <c r="F11" s="95">
        <f>((36600/24/0.87)+(35160/24/0.87))/1000</f>
        <v>3.436781609195402</v>
      </c>
      <c r="G11" s="73"/>
      <c r="H11" s="110">
        <f>0.482+(0.019+0.019-0.015+(0.18-0.216+0.071))</f>
        <v>0.5399999999999999</v>
      </c>
      <c r="I11" s="112"/>
      <c r="J11" s="112"/>
      <c r="K11" s="111">
        <f>E11-F11-H11</f>
        <v>0.023218390804598088</v>
      </c>
      <c r="L11" s="203"/>
      <c r="M11" s="205"/>
    </row>
    <row r="12" spans="1:13" ht="22.5" customHeight="1">
      <c r="A12" s="210">
        <v>3</v>
      </c>
      <c r="B12" s="211" t="s">
        <v>385</v>
      </c>
      <c r="C12" s="211"/>
      <c r="D12" s="113" t="s">
        <v>62</v>
      </c>
      <c r="E12" s="113">
        <v>0</v>
      </c>
      <c r="F12" s="113">
        <v>0</v>
      </c>
      <c r="G12" s="96"/>
      <c r="H12" s="113">
        <v>0</v>
      </c>
      <c r="I12" s="96"/>
      <c r="J12" s="96"/>
      <c r="K12" s="113">
        <v>0</v>
      </c>
      <c r="L12" s="203" t="s">
        <v>383</v>
      </c>
      <c r="M12" s="204">
        <v>42725</v>
      </c>
    </row>
    <row r="13" spans="1:13" ht="25.5" customHeight="1">
      <c r="A13" s="210"/>
      <c r="B13" s="211"/>
      <c r="C13" s="211"/>
      <c r="D13" s="113" t="s">
        <v>60</v>
      </c>
      <c r="E13" s="113">
        <v>4</v>
      </c>
      <c r="F13" s="97">
        <f>((37248/24/0.87)+(24768/24/0.87))/1000</f>
        <v>2.9701149425287356</v>
      </c>
      <c r="G13" s="96"/>
      <c r="H13" s="110">
        <f>-0.028+0.05+(0.045+0.03-0.075)+(0.505-0.28+0.135)</f>
        <v>0.382</v>
      </c>
      <c r="I13" s="112"/>
      <c r="J13" s="112"/>
      <c r="K13" s="111">
        <f>E13-F13-H13</f>
        <v>0.6478850574712643</v>
      </c>
      <c r="L13" s="203"/>
      <c r="M13" s="205"/>
    </row>
    <row r="14" spans="1:13" ht="27" customHeight="1">
      <c r="A14" s="210">
        <v>4</v>
      </c>
      <c r="B14" s="207" t="s">
        <v>386</v>
      </c>
      <c r="C14" s="207"/>
      <c r="D14" s="91" t="s">
        <v>62</v>
      </c>
      <c r="E14" s="91">
        <v>0</v>
      </c>
      <c r="F14" s="91">
        <v>0</v>
      </c>
      <c r="G14" s="73"/>
      <c r="H14" s="92">
        <v>0</v>
      </c>
      <c r="I14" s="73"/>
      <c r="J14" s="73"/>
      <c r="K14" s="91">
        <v>0</v>
      </c>
      <c r="L14" s="203" t="s">
        <v>383</v>
      </c>
      <c r="M14" s="204">
        <v>42725</v>
      </c>
    </row>
    <row r="15" spans="1:13" ht="25.5" customHeight="1">
      <c r="A15" s="210"/>
      <c r="B15" s="207"/>
      <c r="C15" s="207"/>
      <c r="D15" s="91" t="s">
        <v>60</v>
      </c>
      <c r="E15" s="91">
        <v>6.3</v>
      </c>
      <c r="F15" s="95">
        <f>((49920/24/0.87)+(44520/24/0.87))/1000</f>
        <v>4.522988505747127</v>
      </c>
      <c r="G15" s="73"/>
      <c r="H15" s="110">
        <f>0.992+(0.126+0.07-0.53)+(1.014+0.086-0.183)+(0.43-0.211+0.306)</f>
        <v>2.1</v>
      </c>
      <c r="I15" s="112"/>
      <c r="J15" s="112"/>
      <c r="K15" s="111">
        <f>E15-F15-H15</f>
        <v>-0.3229885057471269</v>
      </c>
      <c r="L15" s="203"/>
      <c r="M15" s="205"/>
    </row>
    <row r="16" spans="1:14" ht="157.5" hidden="1" outlineLevel="1">
      <c r="A16" s="99"/>
      <c r="B16" s="99"/>
      <c r="C16" s="99"/>
      <c r="D16" s="99"/>
      <c r="E16" s="99" t="s">
        <v>455</v>
      </c>
      <c r="F16" s="99" t="s">
        <v>456</v>
      </c>
      <c r="G16" s="99"/>
      <c r="H16" s="99" t="s">
        <v>457</v>
      </c>
      <c r="I16" s="99"/>
      <c r="J16" s="99"/>
      <c r="K16" s="99"/>
      <c r="L16" s="99"/>
      <c r="M16" s="99"/>
      <c r="N16" s="74"/>
    </row>
    <row r="17" spans="1:14" ht="12.75" collapsed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</sheetData>
  <sheetProtection/>
  <mergeCells count="28">
    <mergeCell ref="A6:A7"/>
    <mergeCell ref="B6:C7"/>
    <mergeCell ref="L6:L7"/>
    <mergeCell ref="M6:M7"/>
    <mergeCell ref="A1:M1"/>
    <mergeCell ref="A2:M2"/>
    <mergeCell ref="A3:M3"/>
    <mergeCell ref="A8:A9"/>
    <mergeCell ref="B8:C9"/>
    <mergeCell ref="L8:L9"/>
    <mergeCell ref="M8:M9"/>
    <mergeCell ref="A10:A11"/>
    <mergeCell ref="B10:C11"/>
    <mergeCell ref="L10:L11"/>
    <mergeCell ref="M10:M11"/>
    <mergeCell ref="A14:A15"/>
    <mergeCell ref="B14:C15"/>
    <mergeCell ref="A12:A13"/>
    <mergeCell ref="B12:C13"/>
    <mergeCell ref="L12:L13"/>
    <mergeCell ref="M12:M13"/>
    <mergeCell ref="L14:L15"/>
    <mergeCell ref="M14:M15"/>
    <mergeCell ref="D6:D7"/>
    <mergeCell ref="E6:E7"/>
    <mergeCell ref="F6:F7"/>
    <mergeCell ref="H6:H7"/>
    <mergeCell ref="K6:K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10.710937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4" t="s">
        <v>155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4.75" customHeight="1">
      <c r="A2" s="214" t="s">
        <v>150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24.75" customHeight="1">
      <c r="A3" s="227" t="s">
        <v>454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24.7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24.75" customHeight="1">
      <c r="A5" s="228" t="s">
        <v>151</v>
      </c>
      <c r="B5" s="230" t="s">
        <v>71</v>
      </c>
      <c r="C5" s="230" t="s">
        <v>64</v>
      </c>
      <c r="D5" s="114" t="s">
        <v>156</v>
      </c>
      <c r="E5" s="230" t="s">
        <v>89</v>
      </c>
      <c r="F5" s="75" t="s">
        <v>157</v>
      </c>
      <c r="G5" s="230" t="s">
        <v>158</v>
      </c>
      <c r="H5" s="75" t="s">
        <v>159</v>
      </c>
      <c r="I5" s="230" t="s">
        <v>87</v>
      </c>
      <c r="J5" s="230" t="s">
        <v>160</v>
      </c>
      <c r="K5" s="74"/>
      <c r="L5" s="72"/>
      <c r="M5" s="72"/>
      <c r="N5" s="72"/>
    </row>
    <row r="6" spans="1:14" ht="24.75" customHeight="1" thickBot="1">
      <c r="A6" s="229"/>
      <c r="B6" s="231"/>
      <c r="C6" s="231"/>
      <c r="D6" s="115" t="s">
        <v>161</v>
      </c>
      <c r="E6" s="231"/>
      <c r="F6" s="76" t="s">
        <v>162</v>
      </c>
      <c r="G6" s="231"/>
      <c r="H6" s="76" t="s">
        <v>163</v>
      </c>
      <c r="I6" s="231"/>
      <c r="J6" s="231"/>
      <c r="K6" s="74"/>
      <c r="L6" s="72"/>
      <c r="M6" s="72"/>
      <c r="N6" s="72"/>
    </row>
    <row r="7" spans="1:11" ht="24.75" customHeight="1" thickBot="1">
      <c r="A7" s="217">
        <v>1</v>
      </c>
      <c r="B7" s="219" t="s">
        <v>387</v>
      </c>
      <c r="C7" s="98" t="s">
        <v>60</v>
      </c>
      <c r="D7" s="98">
        <v>0</v>
      </c>
      <c r="E7" s="98">
        <v>0</v>
      </c>
      <c r="F7" s="98">
        <v>0</v>
      </c>
      <c r="G7" s="98">
        <f>D7-E7-F7</f>
        <v>0</v>
      </c>
      <c r="H7" s="221" t="s">
        <v>383</v>
      </c>
      <c r="I7" s="223">
        <v>40533</v>
      </c>
      <c r="J7" s="217" t="s">
        <v>388</v>
      </c>
      <c r="K7" s="74"/>
    </row>
    <row r="8" spans="1:11" ht="24.75" customHeight="1" thickBot="1">
      <c r="A8" s="218"/>
      <c r="B8" s="220"/>
      <c r="C8" s="98" t="s">
        <v>59</v>
      </c>
      <c r="D8" s="98">
        <v>0.25</v>
      </c>
      <c r="E8" s="98">
        <v>0.155</v>
      </c>
      <c r="F8" s="98">
        <f>0.004+0.022+0.06+0.05-0.015</f>
        <v>0.12100000000000001</v>
      </c>
      <c r="G8" s="98">
        <f>D8-E8-F8</f>
        <v>-0.02600000000000001</v>
      </c>
      <c r="H8" s="222"/>
      <c r="I8" s="224"/>
      <c r="J8" s="218"/>
      <c r="K8" s="74"/>
    </row>
    <row r="9" spans="1:11" ht="24.75" customHeight="1" thickBot="1">
      <c r="A9" s="217">
        <v>2</v>
      </c>
      <c r="B9" s="219" t="s">
        <v>389</v>
      </c>
      <c r="C9" s="98" t="s">
        <v>60</v>
      </c>
      <c r="D9" s="98">
        <v>0</v>
      </c>
      <c r="E9" s="98">
        <v>0</v>
      </c>
      <c r="F9" s="98">
        <v>0</v>
      </c>
      <c r="G9" s="98">
        <f aca="true" t="shared" si="0" ref="G9:G73">D9-E9-F9</f>
        <v>0</v>
      </c>
      <c r="H9" s="221" t="s">
        <v>383</v>
      </c>
      <c r="I9" s="223">
        <v>40533</v>
      </c>
      <c r="J9" s="217" t="s">
        <v>388</v>
      </c>
      <c r="K9" s="74"/>
    </row>
    <row r="10" spans="1:11" ht="24.75" customHeight="1" thickBot="1">
      <c r="A10" s="218"/>
      <c r="B10" s="220"/>
      <c r="C10" s="98" t="s">
        <v>59</v>
      </c>
      <c r="D10" s="98">
        <v>0.63</v>
      </c>
      <c r="E10" s="98">
        <v>0.317</v>
      </c>
      <c r="F10" s="98">
        <v>0</v>
      </c>
      <c r="G10" s="98">
        <f t="shared" si="0"/>
        <v>0.313</v>
      </c>
      <c r="H10" s="222"/>
      <c r="I10" s="224"/>
      <c r="J10" s="218"/>
      <c r="K10" s="74"/>
    </row>
    <row r="11" spans="1:11" ht="24.75" customHeight="1" thickBot="1">
      <c r="A11" s="217">
        <v>3</v>
      </c>
      <c r="B11" s="219" t="s">
        <v>390</v>
      </c>
      <c r="C11" s="98" t="s">
        <v>60</v>
      </c>
      <c r="D11" s="98">
        <v>0</v>
      </c>
      <c r="E11" s="98">
        <v>0</v>
      </c>
      <c r="F11" s="98">
        <v>0</v>
      </c>
      <c r="G11" s="98">
        <f t="shared" si="0"/>
        <v>0</v>
      </c>
      <c r="H11" s="221" t="s">
        <v>383</v>
      </c>
      <c r="I11" s="223">
        <v>40533</v>
      </c>
      <c r="J11" s="217" t="s">
        <v>388</v>
      </c>
      <c r="K11" s="74"/>
    </row>
    <row r="12" spans="1:11" ht="24.75" customHeight="1" thickBot="1">
      <c r="A12" s="218"/>
      <c r="B12" s="220"/>
      <c r="C12" s="98" t="s">
        <v>59</v>
      </c>
      <c r="D12" s="98">
        <v>0.4</v>
      </c>
      <c r="E12" s="98">
        <v>0.23</v>
      </c>
      <c r="F12" s="98">
        <f>0.006+0.015</f>
        <v>0.020999999999999998</v>
      </c>
      <c r="G12" s="98">
        <f t="shared" si="0"/>
        <v>0.14900000000000002</v>
      </c>
      <c r="H12" s="222"/>
      <c r="I12" s="224"/>
      <c r="J12" s="218"/>
      <c r="K12" s="74"/>
    </row>
    <row r="13" spans="1:11" ht="24.75" customHeight="1" thickBot="1">
      <c r="A13" s="217">
        <v>4</v>
      </c>
      <c r="B13" s="219" t="s">
        <v>391</v>
      </c>
      <c r="C13" s="98" t="s">
        <v>60</v>
      </c>
      <c r="D13" s="98">
        <v>0</v>
      </c>
      <c r="E13" s="98">
        <v>0</v>
      </c>
      <c r="F13" s="98">
        <v>0</v>
      </c>
      <c r="G13" s="98">
        <f t="shared" si="0"/>
        <v>0</v>
      </c>
      <c r="H13" s="221" t="s">
        <v>383</v>
      </c>
      <c r="I13" s="223">
        <v>40533</v>
      </c>
      <c r="J13" s="217" t="s">
        <v>388</v>
      </c>
      <c r="K13" s="74"/>
    </row>
    <row r="14" spans="1:11" ht="24.75" customHeight="1" thickBot="1">
      <c r="A14" s="218"/>
      <c r="B14" s="220"/>
      <c r="C14" s="98" t="s">
        <v>59</v>
      </c>
      <c r="D14" s="98">
        <v>0.4</v>
      </c>
      <c r="E14" s="98">
        <v>0.245</v>
      </c>
      <c r="F14" s="98">
        <v>0.09</v>
      </c>
      <c r="G14" s="98">
        <f t="shared" si="0"/>
        <v>0.06500000000000003</v>
      </c>
      <c r="H14" s="222"/>
      <c r="I14" s="224"/>
      <c r="J14" s="218"/>
      <c r="K14" s="74"/>
    </row>
    <row r="15" spans="1:11" ht="24.75" customHeight="1" thickBot="1">
      <c r="A15" s="217">
        <v>5</v>
      </c>
      <c r="B15" s="219" t="s">
        <v>392</v>
      </c>
      <c r="C15" s="98" t="s">
        <v>60</v>
      </c>
      <c r="D15" s="98">
        <v>0</v>
      </c>
      <c r="E15" s="98">
        <v>0</v>
      </c>
      <c r="F15" s="98">
        <v>0</v>
      </c>
      <c r="G15" s="98">
        <f t="shared" si="0"/>
        <v>0</v>
      </c>
      <c r="H15" s="221" t="s">
        <v>383</v>
      </c>
      <c r="I15" s="223">
        <v>40533</v>
      </c>
      <c r="J15" s="217" t="s">
        <v>388</v>
      </c>
      <c r="K15" s="74"/>
    </row>
    <row r="16" spans="1:10" ht="24.75" customHeight="1" thickBot="1">
      <c r="A16" s="218"/>
      <c r="B16" s="220"/>
      <c r="C16" s="98" t="s">
        <v>59</v>
      </c>
      <c r="D16" s="98">
        <v>0.4</v>
      </c>
      <c r="E16" s="98">
        <v>0.151</v>
      </c>
      <c r="F16" s="98">
        <v>0</v>
      </c>
      <c r="G16" s="98">
        <f t="shared" si="0"/>
        <v>0.24900000000000003</v>
      </c>
      <c r="H16" s="222"/>
      <c r="I16" s="224"/>
      <c r="J16" s="218"/>
    </row>
    <row r="17" spans="1:15" ht="24.75" customHeight="1" outlineLevel="1" thickBot="1">
      <c r="A17" s="217">
        <v>6</v>
      </c>
      <c r="B17" s="219" t="s">
        <v>393</v>
      </c>
      <c r="C17" s="98" t="s">
        <v>60</v>
      </c>
      <c r="D17" s="98">
        <v>0</v>
      </c>
      <c r="E17" s="98">
        <v>0</v>
      </c>
      <c r="F17" s="98">
        <v>0</v>
      </c>
      <c r="G17" s="98">
        <f t="shared" si="0"/>
        <v>0</v>
      </c>
      <c r="H17" s="221" t="s">
        <v>383</v>
      </c>
      <c r="I17" s="223">
        <v>40533</v>
      </c>
      <c r="J17" s="217" t="s">
        <v>388</v>
      </c>
      <c r="L17" s="99"/>
      <c r="M17" s="99"/>
      <c r="N17" s="99"/>
      <c r="O17" s="74"/>
    </row>
    <row r="18" spans="1:15" ht="24.75" customHeight="1" thickBot="1">
      <c r="A18" s="218"/>
      <c r="B18" s="220"/>
      <c r="C18" s="98" t="s">
        <v>59</v>
      </c>
      <c r="D18" s="98">
        <v>0.63</v>
      </c>
      <c r="E18" s="98">
        <v>0.093</v>
      </c>
      <c r="F18" s="98">
        <v>0</v>
      </c>
      <c r="G18" s="98">
        <f t="shared" si="0"/>
        <v>0.537</v>
      </c>
      <c r="H18" s="222"/>
      <c r="I18" s="224"/>
      <c r="J18" s="218"/>
      <c r="L18" s="74"/>
      <c r="M18" s="74"/>
      <c r="N18" s="74"/>
      <c r="O18" s="74"/>
    </row>
    <row r="19" spans="1:15" ht="24.75" customHeight="1" thickBot="1">
      <c r="A19" s="217">
        <v>7</v>
      </c>
      <c r="B19" s="219" t="s">
        <v>394</v>
      </c>
      <c r="C19" s="98" t="s">
        <v>60</v>
      </c>
      <c r="D19" s="98">
        <v>0</v>
      </c>
      <c r="E19" s="98">
        <v>0</v>
      </c>
      <c r="F19" s="98">
        <v>0</v>
      </c>
      <c r="G19" s="98">
        <f t="shared" si="0"/>
        <v>0</v>
      </c>
      <c r="H19" s="221" t="s">
        <v>383</v>
      </c>
      <c r="I19" s="223">
        <v>40533</v>
      </c>
      <c r="J19" s="217" t="s">
        <v>388</v>
      </c>
      <c r="L19" s="74"/>
      <c r="M19" s="74"/>
      <c r="N19" s="74"/>
      <c r="O19" s="74"/>
    </row>
    <row r="20" spans="1:15" ht="24.75" customHeight="1" thickBot="1">
      <c r="A20" s="218"/>
      <c r="B20" s="220"/>
      <c r="C20" s="98" t="s">
        <v>59</v>
      </c>
      <c r="D20" s="98">
        <v>0.25</v>
      </c>
      <c r="E20" s="98">
        <v>0.097</v>
      </c>
      <c r="F20" s="98">
        <f>0.005+0.02</f>
        <v>0.025</v>
      </c>
      <c r="G20" s="98">
        <f t="shared" si="0"/>
        <v>0.128</v>
      </c>
      <c r="H20" s="222"/>
      <c r="I20" s="224"/>
      <c r="J20" s="218"/>
      <c r="L20" s="74"/>
      <c r="M20" s="74"/>
      <c r="N20" s="74"/>
      <c r="O20" s="74"/>
    </row>
    <row r="21" spans="1:15" ht="24.75" customHeight="1" thickBot="1">
      <c r="A21" s="217">
        <v>8</v>
      </c>
      <c r="B21" s="219" t="s">
        <v>395</v>
      </c>
      <c r="C21" s="98" t="s">
        <v>60</v>
      </c>
      <c r="D21" s="98">
        <v>0</v>
      </c>
      <c r="E21" s="98">
        <v>0</v>
      </c>
      <c r="F21" s="98">
        <v>0</v>
      </c>
      <c r="G21" s="98">
        <f t="shared" si="0"/>
        <v>0</v>
      </c>
      <c r="H21" s="221" t="s">
        <v>383</v>
      </c>
      <c r="I21" s="223">
        <v>40533</v>
      </c>
      <c r="J21" s="217" t="s">
        <v>388</v>
      </c>
      <c r="L21" s="74"/>
      <c r="M21" s="74"/>
      <c r="N21" s="74"/>
      <c r="O21" s="74"/>
    </row>
    <row r="22" spans="1:15" ht="24.75" customHeight="1" thickBot="1">
      <c r="A22" s="218"/>
      <c r="B22" s="220"/>
      <c r="C22" s="98" t="s">
        <v>59</v>
      </c>
      <c r="D22" s="98">
        <v>0.25</v>
      </c>
      <c r="E22" s="98">
        <v>0.143</v>
      </c>
      <c r="F22" s="98">
        <v>0</v>
      </c>
      <c r="G22" s="98">
        <f t="shared" si="0"/>
        <v>0.10700000000000001</v>
      </c>
      <c r="H22" s="222"/>
      <c r="I22" s="224"/>
      <c r="J22" s="218"/>
      <c r="L22" s="74"/>
      <c r="M22" s="74"/>
      <c r="N22" s="74"/>
      <c r="O22" s="74"/>
    </row>
    <row r="23" spans="1:15" ht="24.75" customHeight="1" thickBot="1">
      <c r="A23" s="217">
        <v>9</v>
      </c>
      <c r="B23" s="219" t="s">
        <v>396</v>
      </c>
      <c r="C23" s="98" t="s">
        <v>60</v>
      </c>
      <c r="D23" s="98">
        <v>0</v>
      </c>
      <c r="E23" s="98">
        <v>0</v>
      </c>
      <c r="F23" s="98">
        <v>0</v>
      </c>
      <c r="G23" s="98">
        <f t="shared" si="0"/>
        <v>0</v>
      </c>
      <c r="H23" s="221" t="s">
        <v>383</v>
      </c>
      <c r="I23" s="223">
        <v>40533</v>
      </c>
      <c r="J23" s="217" t="s">
        <v>388</v>
      </c>
      <c r="L23" s="74"/>
      <c r="M23" s="74"/>
      <c r="N23" s="74"/>
      <c r="O23" s="74"/>
    </row>
    <row r="24" spans="1:15" ht="24.75" customHeight="1" thickBot="1">
      <c r="A24" s="218"/>
      <c r="B24" s="220"/>
      <c r="C24" s="98" t="s">
        <v>59</v>
      </c>
      <c r="D24" s="98">
        <v>0.63</v>
      </c>
      <c r="E24" s="98">
        <v>0.19</v>
      </c>
      <c r="F24" s="98">
        <v>0.008</v>
      </c>
      <c r="G24" s="98">
        <f t="shared" si="0"/>
        <v>0.432</v>
      </c>
      <c r="H24" s="222"/>
      <c r="I24" s="224"/>
      <c r="J24" s="218"/>
      <c r="L24" s="74"/>
      <c r="M24" s="74"/>
      <c r="N24" s="74"/>
      <c r="O24" s="74"/>
    </row>
    <row r="25" spans="1:15" ht="24.75" customHeight="1" thickBot="1">
      <c r="A25" s="217">
        <v>10</v>
      </c>
      <c r="B25" s="219" t="s">
        <v>397</v>
      </c>
      <c r="C25" s="98" t="s">
        <v>60</v>
      </c>
      <c r="D25" s="98">
        <v>0</v>
      </c>
      <c r="E25" s="98">
        <v>0</v>
      </c>
      <c r="F25" s="98">
        <v>0</v>
      </c>
      <c r="G25" s="98">
        <f t="shared" si="0"/>
        <v>0</v>
      </c>
      <c r="H25" s="221" t="s">
        <v>383</v>
      </c>
      <c r="I25" s="223">
        <v>40533</v>
      </c>
      <c r="J25" s="217" t="s">
        <v>388</v>
      </c>
      <c r="L25" s="74"/>
      <c r="M25" s="74"/>
      <c r="N25" s="74"/>
      <c r="O25" s="74"/>
    </row>
    <row r="26" spans="1:15" ht="24.75" customHeight="1" thickBot="1">
      <c r="A26" s="218"/>
      <c r="B26" s="220"/>
      <c r="C26" s="98" t="s">
        <v>59</v>
      </c>
      <c r="D26" s="98">
        <v>0.4</v>
      </c>
      <c r="E26" s="98">
        <v>0.204</v>
      </c>
      <c r="F26" s="98">
        <v>0</v>
      </c>
      <c r="G26" s="98">
        <f t="shared" si="0"/>
        <v>0.19600000000000004</v>
      </c>
      <c r="H26" s="222"/>
      <c r="I26" s="224"/>
      <c r="J26" s="218"/>
      <c r="L26" s="74"/>
      <c r="M26" s="74"/>
      <c r="N26" s="74"/>
      <c r="O26" s="74"/>
    </row>
    <row r="27" spans="1:15" ht="24.75" customHeight="1" thickBot="1">
      <c r="A27" s="217">
        <v>11</v>
      </c>
      <c r="B27" s="219" t="s">
        <v>398</v>
      </c>
      <c r="C27" s="98" t="s">
        <v>60</v>
      </c>
      <c r="D27" s="98">
        <v>0</v>
      </c>
      <c r="E27" s="98">
        <v>0</v>
      </c>
      <c r="F27" s="98">
        <v>0</v>
      </c>
      <c r="G27" s="98">
        <f t="shared" si="0"/>
        <v>0</v>
      </c>
      <c r="H27" s="221" t="s">
        <v>383</v>
      </c>
      <c r="I27" s="223">
        <v>40533</v>
      </c>
      <c r="J27" s="217" t="s">
        <v>388</v>
      </c>
      <c r="L27" s="74"/>
      <c r="M27" s="74"/>
      <c r="N27" s="74"/>
      <c r="O27" s="74"/>
    </row>
    <row r="28" spans="1:15" ht="24.75" customHeight="1" thickBot="1">
      <c r="A28" s="218"/>
      <c r="B28" s="220"/>
      <c r="C28" s="98" t="s">
        <v>59</v>
      </c>
      <c r="D28" s="98">
        <v>0.4</v>
      </c>
      <c r="E28" s="98">
        <v>0.217</v>
      </c>
      <c r="F28" s="98">
        <v>0.0923</v>
      </c>
      <c r="G28" s="98">
        <f t="shared" si="0"/>
        <v>0.09070000000000003</v>
      </c>
      <c r="H28" s="222"/>
      <c r="I28" s="224"/>
      <c r="J28" s="218"/>
      <c r="L28" s="74"/>
      <c r="M28" s="74"/>
      <c r="N28" s="74"/>
      <c r="O28" s="74"/>
    </row>
    <row r="29" spans="1:15" ht="24.75" customHeight="1" thickBot="1">
      <c r="A29" s="217">
        <v>12</v>
      </c>
      <c r="B29" s="219" t="s">
        <v>399</v>
      </c>
      <c r="C29" s="98" t="s">
        <v>60</v>
      </c>
      <c r="D29" s="98">
        <v>0</v>
      </c>
      <c r="E29" s="98">
        <v>0</v>
      </c>
      <c r="F29" s="98">
        <v>0</v>
      </c>
      <c r="G29" s="98">
        <f t="shared" si="0"/>
        <v>0</v>
      </c>
      <c r="H29" s="221" t="s">
        <v>383</v>
      </c>
      <c r="I29" s="223">
        <v>40533</v>
      </c>
      <c r="J29" s="217" t="s">
        <v>388</v>
      </c>
      <c r="L29" s="74"/>
      <c r="M29" s="74"/>
      <c r="N29" s="74"/>
      <c r="O29" s="74"/>
    </row>
    <row r="30" spans="1:10" ht="24.75" customHeight="1" thickBot="1">
      <c r="A30" s="218"/>
      <c r="B30" s="220"/>
      <c r="C30" s="98" t="s">
        <v>59</v>
      </c>
      <c r="D30" s="98">
        <v>0.63</v>
      </c>
      <c r="E30" s="98">
        <v>0.267</v>
      </c>
      <c r="F30" s="98">
        <f>0.007+0.004+0.015</f>
        <v>0.026</v>
      </c>
      <c r="G30" s="98">
        <f t="shared" si="0"/>
        <v>0.33699999999999997</v>
      </c>
      <c r="H30" s="222"/>
      <c r="I30" s="224"/>
      <c r="J30" s="218"/>
    </row>
    <row r="31" spans="1:10" ht="24.75" customHeight="1" thickBot="1">
      <c r="A31" s="217">
        <v>13</v>
      </c>
      <c r="B31" s="219" t="s">
        <v>400</v>
      </c>
      <c r="C31" s="98" t="s">
        <v>60</v>
      </c>
      <c r="D31" s="98">
        <v>0</v>
      </c>
      <c r="E31" s="98">
        <v>0</v>
      </c>
      <c r="F31" s="98">
        <v>0</v>
      </c>
      <c r="G31" s="98">
        <f t="shared" si="0"/>
        <v>0</v>
      </c>
      <c r="H31" s="221" t="s">
        <v>383</v>
      </c>
      <c r="I31" s="223">
        <v>40533</v>
      </c>
      <c r="J31" s="217" t="s">
        <v>388</v>
      </c>
    </row>
    <row r="32" spans="1:10" ht="24.75" customHeight="1" thickBot="1">
      <c r="A32" s="218"/>
      <c r="B32" s="220"/>
      <c r="C32" s="98" t="s">
        <v>401</v>
      </c>
      <c r="D32" s="98">
        <v>0.4</v>
      </c>
      <c r="E32" s="98">
        <v>0.164</v>
      </c>
      <c r="F32" s="98">
        <v>0</v>
      </c>
      <c r="G32" s="98">
        <f t="shared" si="0"/>
        <v>0.23600000000000002</v>
      </c>
      <c r="H32" s="222"/>
      <c r="I32" s="224"/>
      <c r="J32" s="218"/>
    </row>
    <row r="33" spans="1:10" ht="24.75" customHeight="1" thickBot="1">
      <c r="A33" s="217">
        <v>14</v>
      </c>
      <c r="B33" s="219" t="s">
        <v>402</v>
      </c>
      <c r="C33" s="98" t="s">
        <v>60</v>
      </c>
      <c r="D33" s="98">
        <v>0</v>
      </c>
      <c r="E33" s="98">
        <v>0</v>
      </c>
      <c r="F33" s="98">
        <v>0</v>
      </c>
      <c r="G33" s="98">
        <f t="shared" si="0"/>
        <v>0</v>
      </c>
      <c r="H33" s="221" t="s">
        <v>383</v>
      </c>
      <c r="I33" s="223">
        <v>40533</v>
      </c>
      <c r="J33" s="217" t="s">
        <v>388</v>
      </c>
    </row>
    <row r="34" spans="1:10" ht="24.75" customHeight="1" thickBot="1">
      <c r="A34" s="218"/>
      <c r="B34" s="220"/>
      <c r="C34" s="98" t="s">
        <v>59</v>
      </c>
      <c r="D34" s="98">
        <v>0.25</v>
      </c>
      <c r="E34" s="98">
        <v>0.14</v>
      </c>
      <c r="F34" s="98">
        <v>0</v>
      </c>
      <c r="G34" s="98">
        <f t="shared" si="0"/>
        <v>0.10999999999999999</v>
      </c>
      <c r="H34" s="222"/>
      <c r="I34" s="224"/>
      <c r="J34" s="218"/>
    </row>
    <row r="35" spans="1:10" ht="24.75" customHeight="1" thickBot="1">
      <c r="A35" s="217">
        <v>15</v>
      </c>
      <c r="B35" s="225" t="s">
        <v>403</v>
      </c>
      <c r="C35" s="98" t="s">
        <v>60</v>
      </c>
      <c r="D35" s="98">
        <v>0</v>
      </c>
      <c r="E35" s="98">
        <v>0</v>
      </c>
      <c r="F35" s="98">
        <v>0</v>
      </c>
      <c r="G35" s="98">
        <f t="shared" si="0"/>
        <v>0</v>
      </c>
      <c r="H35" s="221" t="s">
        <v>383</v>
      </c>
      <c r="I35" s="223">
        <v>40533</v>
      </c>
      <c r="J35" s="217" t="s">
        <v>388</v>
      </c>
    </row>
    <row r="36" spans="1:10" ht="24.75" customHeight="1" thickBot="1">
      <c r="A36" s="218"/>
      <c r="B36" s="226"/>
      <c r="C36" s="98" t="s">
        <v>59</v>
      </c>
      <c r="D36" s="98">
        <v>0.63</v>
      </c>
      <c r="E36" s="100">
        <v>0.14</v>
      </c>
      <c r="F36" s="98">
        <f>0.003+0.016</f>
        <v>0.019</v>
      </c>
      <c r="G36" s="98">
        <f t="shared" si="0"/>
        <v>0.471</v>
      </c>
      <c r="H36" s="222"/>
      <c r="I36" s="224"/>
      <c r="J36" s="218"/>
    </row>
    <row r="37" spans="1:10" ht="24.75" customHeight="1" thickBot="1">
      <c r="A37" s="217">
        <v>16</v>
      </c>
      <c r="B37" s="219" t="s">
        <v>404</v>
      </c>
      <c r="C37" s="98" t="s">
        <v>60</v>
      </c>
      <c r="D37" s="98">
        <v>0</v>
      </c>
      <c r="E37" s="98">
        <v>0</v>
      </c>
      <c r="F37" s="98">
        <v>0</v>
      </c>
      <c r="G37" s="98">
        <f t="shared" si="0"/>
        <v>0</v>
      </c>
      <c r="H37" s="221" t="s">
        <v>383</v>
      </c>
      <c r="I37" s="223">
        <v>40533</v>
      </c>
      <c r="J37" s="217" t="s">
        <v>388</v>
      </c>
    </row>
    <row r="38" spans="1:10" ht="24.75" customHeight="1" thickBot="1">
      <c r="A38" s="218"/>
      <c r="B38" s="220"/>
      <c r="C38" s="98" t="s">
        <v>59</v>
      </c>
      <c r="D38" s="98">
        <v>0.63</v>
      </c>
      <c r="E38" s="98">
        <v>0.146</v>
      </c>
      <c r="F38" s="98">
        <v>0.035</v>
      </c>
      <c r="G38" s="98">
        <f t="shared" si="0"/>
        <v>0.44899999999999995</v>
      </c>
      <c r="H38" s="222"/>
      <c r="I38" s="224"/>
      <c r="J38" s="218"/>
    </row>
    <row r="39" spans="1:10" ht="24.75" customHeight="1" thickBot="1">
      <c r="A39" s="217">
        <v>17</v>
      </c>
      <c r="B39" s="219" t="s">
        <v>405</v>
      </c>
      <c r="C39" s="98" t="s">
        <v>60</v>
      </c>
      <c r="D39" s="98">
        <v>0</v>
      </c>
      <c r="E39" s="98">
        <v>0</v>
      </c>
      <c r="F39" s="98">
        <v>0</v>
      </c>
      <c r="G39" s="98">
        <f t="shared" si="0"/>
        <v>0</v>
      </c>
      <c r="H39" s="221" t="s">
        <v>383</v>
      </c>
      <c r="I39" s="223">
        <v>40533</v>
      </c>
      <c r="J39" s="217" t="s">
        <v>388</v>
      </c>
    </row>
    <row r="40" spans="1:10" ht="24.75" customHeight="1" thickBot="1">
      <c r="A40" s="218"/>
      <c r="B40" s="220"/>
      <c r="C40" s="98" t="s">
        <v>59</v>
      </c>
      <c r="D40" s="98">
        <v>0.25</v>
      </c>
      <c r="E40" s="98">
        <v>0.076</v>
      </c>
      <c r="F40" s="98">
        <v>0.007</v>
      </c>
      <c r="G40" s="98">
        <f t="shared" si="0"/>
        <v>0.16699999999999998</v>
      </c>
      <c r="H40" s="222"/>
      <c r="I40" s="224"/>
      <c r="J40" s="218"/>
    </row>
    <row r="41" spans="1:10" ht="24.75" customHeight="1" thickBot="1">
      <c r="A41" s="217">
        <v>18</v>
      </c>
      <c r="B41" s="219" t="s">
        <v>406</v>
      </c>
      <c r="C41" s="98" t="s">
        <v>60</v>
      </c>
      <c r="D41" s="98">
        <v>0</v>
      </c>
      <c r="E41" s="98">
        <v>0</v>
      </c>
      <c r="F41" s="98">
        <v>0</v>
      </c>
      <c r="G41" s="98">
        <f t="shared" si="0"/>
        <v>0</v>
      </c>
      <c r="H41" s="221" t="s">
        <v>383</v>
      </c>
      <c r="I41" s="223">
        <v>40533</v>
      </c>
      <c r="J41" s="217" t="s">
        <v>388</v>
      </c>
    </row>
    <row r="42" spans="1:10" ht="24.75" customHeight="1" thickBot="1">
      <c r="A42" s="218"/>
      <c r="B42" s="220"/>
      <c r="C42" s="98" t="s">
        <v>59</v>
      </c>
      <c r="D42" s="98">
        <v>0.63</v>
      </c>
      <c r="E42" s="98">
        <v>0.134</v>
      </c>
      <c r="F42" s="98">
        <f>0.05</f>
        <v>0.05</v>
      </c>
      <c r="G42" s="98">
        <f t="shared" si="0"/>
        <v>0.446</v>
      </c>
      <c r="H42" s="222"/>
      <c r="I42" s="224"/>
      <c r="J42" s="218"/>
    </row>
    <row r="43" spans="1:10" ht="24.75" customHeight="1" thickBot="1">
      <c r="A43" s="217">
        <v>19</v>
      </c>
      <c r="B43" s="219" t="s">
        <v>407</v>
      </c>
      <c r="C43" s="98" t="s">
        <v>60</v>
      </c>
      <c r="D43" s="98">
        <v>0</v>
      </c>
      <c r="E43" s="98">
        <v>0</v>
      </c>
      <c r="F43" s="98">
        <v>0</v>
      </c>
      <c r="G43" s="98">
        <f t="shared" si="0"/>
        <v>0</v>
      </c>
      <c r="H43" s="221" t="s">
        <v>383</v>
      </c>
      <c r="I43" s="223">
        <v>40533</v>
      </c>
      <c r="J43" s="217" t="s">
        <v>388</v>
      </c>
    </row>
    <row r="44" spans="1:10" ht="24.75" customHeight="1" thickBot="1">
      <c r="A44" s="218"/>
      <c r="B44" s="220"/>
      <c r="C44" s="98" t="s">
        <v>59</v>
      </c>
      <c r="D44" s="98">
        <v>0.4</v>
      </c>
      <c r="E44" s="98">
        <v>0.063</v>
      </c>
      <c r="F44" s="98">
        <v>0</v>
      </c>
      <c r="G44" s="98">
        <f t="shared" si="0"/>
        <v>0.337</v>
      </c>
      <c r="H44" s="222"/>
      <c r="I44" s="224"/>
      <c r="J44" s="218"/>
    </row>
    <row r="45" spans="1:10" ht="24.75" customHeight="1" thickBot="1">
      <c r="A45" s="217">
        <v>20</v>
      </c>
      <c r="B45" s="219" t="s">
        <v>408</v>
      </c>
      <c r="C45" s="98" t="s">
        <v>60</v>
      </c>
      <c r="D45" s="98">
        <v>0</v>
      </c>
      <c r="E45" s="98">
        <v>0</v>
      </c>
      <c r="F45" s="98">
        <v>0</v>
      </c>
      <c r="G45" s="98">
        <f t="shared" si="0"/>
        <v>0</v>
      </c>
      <c r="H45" s="221" t="s">
        <v>383</v>
      </c>
      <c r="I45" s="223">
        <v>40533</v>
      </c>
      <c r="J45" s="217" t="s">
        <v>388</v>
      </c>
    </row>
    <row r="46" spans="1:10" ht="24.75" customHeight="1" thickBot="1">
      <c r="A46" s="218"/>
      <c r="B46" s="220"/>
      <c r="C46" s="98" t="s">
        <v>59</v>
      </c>
      <c r="D46" s="98">
        <v>0.4</v>
      </c>
      <c r="E46" s="98">
        <v>0.091</v>
      </c>
      <c r="F46" s="98">
        <v>0.008</v>
      </c>
      <c r="G46" s="98">
        <f t="shared" si="0"/>
        <v>0.30100000000000005</v>
      </c>
      <c r="H46" s="222"/>
      <c r="I46" s="224"/>
      <c r="J46" s="218"/>
    </row>
    <row r="47" spans="1:10" ht="24.75" customHeight="1" thickBot="1">
      <c r="A47" s="217">
        <v>21</v>
      </c>
      <c r="B47" s="219" t="s">
        <v>409</v>
      </c>
      <c r="C47" s="98" t="s">
        <v>60</v>
      </c>
      <c r="D47" s="98">
        <v>0</v>
      </c>
      <c r="E47" s="98">
        <v>0</v>
      </c>
      <c r="F47" s="98">
        <v>0</v>
      </c>
      <c r="G47" s="98">
        <f t="shared" si="0"/>
        <v>0</v>
      </c>
      <c r="H47" s="221" t="s">
        <v>383</v>
      </c>
      <c r="I47" s="223">
        <v>40533</v>
      </c>
      <c r="J47" s="217" t="s">
        <v>388</v>
      </c>
    </row>
    <row r="48" spans="1:10" ht="24.75" customHeight="1" thickBot="1">
      <c r="A48" s="218"/>
      <c r="B48" s="220"/>
      <c r="C48" s="98" t="s">
        <v>59</v>
      </c>
      <c r="D48" s="98">
        <v>0.63</v>
      </c>
      <c r="E48" s="98">
        <v>0.32</v>
      </c>
      <c r="F48" s="98">
        <f>0.037+0.004+0.008+0.03+0.08-0.007</f>
        <v>0.15199999999999997</v>
      </c>
      <c r="G48" s="98">
        <f t="shared" si="0"/>
        <v>0.15800000000000003</v>
      </c>
      <c r="H48" s="222"/>
      <c r="I48" s="224"/>
      <c r="J48" s="218"/>
    </row>
    <row r="49" spans="1:10" ht="24.75" customHeight="1" thickBot="1">
      <c r="A49" s="217">
        <v>22</v>
      </c>
      <c r="B49" s="219" t="s">
        <v>410</v>
      </c>
      <c r="C49" s="98" t="s">
        <v>60</v>
      </c>
      <c r="D49" s="98">
        <v>0</v>
      </c>
      <c r="E49" s="98">
        <v>0</v>
      </c>
      <c r="F49" s="98">
        <v>0</v>
      </c>
      <c r="G49" s="98">
        <f t="shared" si="0"/>
        <v>0</v>
      </c>
      <c r="H49" s="221" t="s">
        <v>383</v>
      </c>
      <c r="I49" s="223">
        <v>40533</v>
      </c>
      <c r="J49" s="217" t="s">
        <v>388</v>
      </c>
    </row>
    <row r="50" spans="1:10" ht="24.75" customHeight="1" thickBot="1">
      <c r="A50" s="218"/>
      <c r="B50" s="220"/>
      <c r="C50" s="98" t="s">
        <v>59</v>
      </c>
      <c r="D50" s="98">
        <v>0.4</v>
      </c>
      <c r="E50" s="98">
        <v>0.255</v>
      </c>
      <c r="F50" s="98">
        <v>0.03</v>
      </c>
      <c r="G50" s="98">
        <f t="shared" si="0"/>
        <v>0.11500000000000002</v>
      </c>
      <c r="H50" s="222"/>
      <c r="I50" s="224"/>
      <c r="J50" s="218"/>
    </row>
    <row r="51" spans="1:10" ht="24.75" customHeight="1" thickBot="1">
      <c r="A51" s="217">
        <v>23</v>
      </c>
      <c r="B51" s="219" t="s">
        <v>411</v>
      </c>
      <c r="C51" s="98" t="s">
        <v>60</v>
      </c>
      <c r="D51" s="98">
        <v>0</v>
      </c>
      <c r="E51" s="98">
        <v>0</v>
      </c>
      <c r="F51" s="98">
        <v>0</v>
      </c>
      <c r="G51" s="98">
        <f t="shared" si="0"/>
        <v>0</v>
      </c>
      <c r="H51" s="221" t="s">
        <v>383</v>
      </c>
      <c r="I51" s="223">
        <v>40533</v>
      </c>
      <c r="J51" s="217" t="s">
        <v>388</v>
      </c>
    </row>
    <row r="52" spans="1:10" ht="24.75" customHeight="1" thickBot="1">
      <c r="A52" s="218"/>
      <c r="B52" s="220"/>
      <c r="C52" s="98" t="s">
        <v>59</v>
      </c>
      <c r="D52" s="98">
        <v>0.25</v>
      </c>
      <c r="E52" s="98">
        <v>0.065</v>
      </c>
      <c r="F52" s="98">
        <v>0</v>
      </c>
      <c r="G52" s="98">
        <f t="shared" si="0"/>
        <v>0.185</v>
      </c>
      <c r="H52" s="222"/>
      <c r="I52" s="224"/>
      <c r="J52" s="218"/>
    </row>
    <row r="53" spans="1:10" ht="24.75" customHeight="1" thickBot="1">
      <c r="A53" s="217">
        <v>24</v>
      </c>
      <c r="B53" s="219" t="s">
        <v>412</v>
      </c>
      <c r="C53" s="98" t="s">
        <v>60</v>
      </c>
      <c r="D53" s="98">
        <v>0</v>
      </c>
      <c r="E53" s="98">
        <v>0</v>
      </c>
      <c r="F53" s="98">
        <v>0</v>
      </c>
      <c r="G53" s="98">
        <f t="shared" si="0"/>
        <v>0</v>
      </c>
      <c r="H53" s="221" t="s">
        <v>383</v>
      </c>
      <c r="I53" s="223">
        <v>40533</v>
      </c>
      <c r="J53" s="217" t="s">
        <v>388</v>
      </c>
    </row>
    <row r="54" spans="1:10" ht="24.75" customHeight="1" thickBot="1">
      <c r="A54" s="218"/>
      <c r="B54" s="220"/>
      <c r="C54" s="98" t="s">
        <v>59</v>
      </c>
      <c r="D54" s="98">
        <v>0.63</v>
      </c>
      <c r="E54" s="98">
        <v>0.224</v>
      </c>
      <c r="F54" s="98">
        <f>0.005+0.007+0.105</f>
        <v>0.11699999999999999</v>
      </c>
      <c r="G54" s="98">
        <f t="shared" si="0"/>
        <v>0.28900000000000003</v>
      </c>
      <c r="H54" s="222"/>
      <c r="I54" s="224"/>
      <c r="J54" s="218"/>
    </row>
    <row r="55" spans="1:10" ht="24.75" customHeight="1" thickBot="1">
      <c r="A55" s="217">
        <v>25</v>
      </c>
      <c r="B55" s="219" t="s">
        <v>413</v>
      </c>
      <c r="C55" s="98" t="s">
        <v>60</v>
      </c>
      <c r="D55" s="98">
        <v>0</v>
      </c>
      <c r="E55" s="98">
        <v>0</v>
      </c>
      <c r="F55" s="98">
        <v>0</v>
      </c>
      <c r="G55" s="98">
        <f t="shared" si="0"/>
        <v>0</v>
      </c>
      <c r="H55" s="221" t="s">
        <v>383</v>
      </c>
      <c r="I55" s="223">
        <v>40533</v>
      </c>
      <c r="J55" s="217" t="s">
        <v>388</v>
      </c>
    </row>
    <row r="56" spans="1:10" ht="24.75" customHeight="1" thickBot="1">
      <c r="A56" s="218"/>
      <c r="B56" s="220"/>
      <c r="C56" s="98" t="s">
        <v>59</v>
      </c>
      <c r="D56" s="98">
        <v>0.63</v>
      </c>
      <c r="E56" s="98">
        <v>0.221</v>
      </c>
      <c r="F56" s="98">
        <v>0.03</v>
      </c>
      <c r="G56" s="98">
        <f t="shared" si="0"/>
        <v>0.379</v>
      </c>
      <c r="H56" s="222"/>
      <c r="I56" s="224"/>
      <c r="J56" s="218"/>
    </row>
    <row r="57" spans="1:10" ht="24.75" customHeight="1" thickBot="1">
      <c r="A57" s="217">
        <v>26</v>
      </c>
      <c r="B57" s="219" t="s">
        <v>414</v>
      </c>
      <c r="C57" s="98" t="s">
        <v>60</v>
      </c>
      <c r="D57" s="98">
        <v>0</v>
      </c>
      <c r="E57" s="98">
        <v>0</v>
      </c>
      <c r="F57" s="98">
        <v>0</v>
      </c>
      <c r="G57" s="98">
        <f t="shared" si="0"/>
        <v>0</v>
      </c>
      <c r="H57" s="221" t="s">
        <v>383</v>
      </c>
      <c r="I57" s="223">
        <v>40533</v>
      </c>
      <c r="J57" s="217" t="s">
        <v>388</v>
      </c>
    </row>
    <row r="58" spans="1:10" ht="24.75" customHeight="1" thickBot="1">
      <c r="A58" s="218"/>
      <c r="B58" s="220"/>
      <c r="C58" s="98" t="s">
        <v>59</v>
      </c>
      <c r="D58" s="98">
        <v>0.25</v>
      </c>
      <c r="E58" s="98">
        <v>0.093</v>
      </c>
      <c r="F58" s="98">
        <v>0.007</v>
      </c>
      <c r="G58" s="98">
        <f t="shared" si="0"/>
        <v>0.15</v>
      </c>
      <c r="H58" s="222"/>
      <c r="I58" s="224"/>
      <c r="J58" s="218"/>
    </row>
    <row r="59" spans="1:10" ht="24.75" customHeight="1" thickBot="1">
      <c r="A59" s="217">
        <v>27</v>
      </c>
      <c r="B59" s="219" t="s">
        <v>415</v>
      </c>
      <c r="C59" s="98" t="s">
        <v>60</v>
      </c>
      <c r="D59" s="98">
        <v>0</v>
      </c>
      <c r="E59" s="98">
        <v>0</v>
      </c>
      <c r="F59" s="98">
        <v>0</v>
      </c>
      <c r="G59" s="98">
        <f t="shared" si="0"/>
        <v>0</v>
      </c>
      <c r="H59" s="221" t="s">
        <v>383</v>
      </c>
      <c r="I59" s="223">
        <v>40533</v>
      </c>
      <c r="J59" s="217" t="s">
        <v>388</v>
      </c>
    </row>
    <row r="60" spans="1:10" ht="24.75" customHeight="1" thickBot="1">
      <c r="A60" s="218"/>
      <c r="B60" s="220"/>
      <c r="C60" s="98" t="s">
        <v>59</v>
      </c>
      <c r="D60" s="98">
        <v>0.4</v>
      </c>
      <c r="E60" s="98">
        <v>0.24</v>
      </c>
      <c r="F60" s="98">
        <f>0.02+0.015+0.015+0.015</f>
        <v>0.065</v>
      </c>
      <c r="G60" s="98">
        <f t="shared" si="0"/>
        <v>0.09500000000000003</v>
      </c>
      <c r="H60" s="222"/>
      <c r="I60" s="224"/>
      <c r="J60" s="218"/>
    </row>
    <row r="61" spans="1:10" ht="24.75" customHeight="1" thickBot="1">
      <c r="A61" s="217">
        <v>28</v>
      </c>
      <c r="B61" s="219" t="s">
        <v>416</v>
      </c>
      <c r="C61" s="98" t="s">
        <v>60</v>
      </c>
      <c r="D61" s="98">
        <v>0</v>
      </c>
      <c r="E61" s="98">
        <v>0</v>
      </c>
      <c r="F61" s="98">
        <v>0</v>
      </c>
      <c r="G61" s="98">
        <f t="shared" si="0"/>
        <v>0</v>
      </c>
      <c r="H61" s="221" t="s">
        <v>383</v>
      </c>
      <c r="I61" s="223">
        <v>40533</v>
      </c>
      <c r="J61" s="217" t="s">
        <v>388</v>
      </c>
    </row>
    <row r="62" spans="1:10" ht="24.75" customHeight="1" thickBot="1">
      <c r="A62" s="218"/>
      <c r="B62" s="220"/>
      <c r="C62" s="98" t="s">
        <v>59</v>
      </c>
      <c r="D62" s="98">
        <v>0.63</v>
      </c>
      <c r="E62" s="98">
        <v>0.539</v>
      </c>
      <c r="F62" s="98">
        <v>0.085</v>
      </c>
      <c r="G62" s="98">
        <f t="shared" si="0"/>
        <v>0.005999999999999964</v>
      </c>
      <c r="H62" s="222"/>
      <c r="I62" s="224"/>
      <c r="J62" s="218"/>
    </row>
    <row r="63" spans="1:10" ht="24.75" customHeight="1" thickBot="1">
      <c r="A63" s="217">
        <v>29</v>
      </c>
      <c r="B63" s="219" t="s">
        <v>417</v>
      </c>
      <c r="C63" s="98" t="s">
        <v>60</v>
      </c>
      <c r="D63" s="98">
        <v>0</v>
      </c>
      <c r="E63" s="98">
        <v>0</v>
      </c>
      <c r="F63" s="98">
        <v>0</v>
      </c>
      <c r="G63" s="98">
        <f t="shared" si="0"/>
        <v>0</v>
      </c>
      <c r="H63" s="221" t="s">
        <v>383</v>
      </c>
      <c r="I63" s="223">
        <v>40533</v>
      </c>
      <c r="J63" s="217" t="s">
        <v>388</v>
      </c>
    </row>
    <row r="64" spans="1:10" ht="24.75" customHeight="1" thickBot="1">
      <c r="A64" s="218"/>
      <c r="B64" s="220"/>
      <c r="C64" s="98" t="s">
        <v>59</v>
      </c>
      <c r="D64" s="98">
        <v>0.4</v>
      </c>
      <c r="E64" s="98">
        <v>0.216</v>
      </c>
      <c r="F64" s="98">
        <v>0</v>
      </c>
      <c r="G64" s="98">
        <f t="shared" si="0"/>
        <v>0.18400000000000002</v>
      </c>
      <c r="H64" s="222"/>
      <c r="I64" s="224"/>
      <c r="J64" s="218"/>
    </row>
    <row r="65" spans="1:10" ht="24.75" customHeight="1" thickBot="1">
      <c r="A65" s="217">
        <v>30</v>
      </c>
      <c r="B65" s="219" t="s">
        <v>418</v>
      </c>
      <c r="C65" s="98" t="s">
        <v>60</v>
      </c>
      <c r="D65" s="98">
        <v>0</v>
      </c>
      <c r="E65" s="98">
        <v>0</v>
      </c>
      <c r="F65" s="98">
        <v>0</v>
      </c>
      <c r="G65" s="98">
        <f t="shared" si="0"/>
        <v>0</v>
      </c>
      <c r="H65" s="221" t="s">
        <v>383</v>
      </c>
      <c r="I65" s="223">
        <v>40533</v>
      </c>
      <c r="J65" s="217" t="s">
        <v>388</v>
      </c>
    </row>
    <row r="66" spans="1:10" ht="24.75" customHeight="1" thickBot="1">
      <c r="A66" s="218"/>
      <c r="B66" s="220"/>
      <c r="C66" s="98" t="s">
        <v>59</v>
      </c>
      <c r="D66" s="98">
        <v>0.25</v>
      </c>
      <c r="E66" s="98">
        <v>0.008</v>
      </c>
      <c r="F66" s="98">
        <v>0</v>
      </c>
      <c r="G66" s="98">
        <f t="shared" si="0"/>
        <v>0.242</v>
      </c>
      <c r="H66" s="222"/>
      <c r="I66" s="224"/>
      <c r="J66" s="218"/>
    </row>
    <row r="67" spans="1:10" ht="24.75" customHeight="1" thickBot="1">
      <c r="A67" s="217">
        <v>31</v>
      </c>
      <c r="B67" s="219" t="s">
        <v>419</v>
      </c>
      <c r="C67" s="98" t="s">
        <v>60</v>
      </c>
      <c r="D67" s="98">
        <v>0</v>
      </c>
      <c r="E67" s="98">
        <v>0</v>
      </c>
      <c r="F67" s="98">
        <v>0</v>
      </c>
      <c r="G67" s="98">
        <f t="shared" si="0"/>
        <v>0</v>
      </c>
      <c r="H67" s="221" t="s">
        <v>383</v>
      </c>
      <c r="I67" s="223">
        <v>40533</v>
      </c>
      <c r="J67" s="217" t="s">
        <v>388</v>
      </c>
    </row>
    <row r="68" spans="1:10" ht="24.75" customHeight="1" thickBot="1">
      <c r="A68" s="218"/>
      <c r="B68" s="220"/>
      <c r="C68" s="98" t="s">
        <v>59</v>
      </c>
      <c r="D68" s="98">
        <v>0.4</v>
      </c>
      <c r="E68" s="98">
        <v>0.194</v>
      </c>
      <c r="F68" s="98">
        <v>0.015</v>
      </c>
      <c r="G68" s="98">
        <f t="shared" si="0"/>
        <v>0.191</v>
      </c>
      <c r="H68" s="222"/>
      <c r="I68" s="224"/>
      <c r="J68" s="218"/>
    </row>
    <row r="69" spans="1:10" ht="24.75" customHeight="1" thickBot="1">
      <c r="A69" s="217">
        <v>32</v>
      </c>
      <c r="B69" s="219" t="s">
        <v>420</v>
      </c>
      <c r="C69" s="98" t="s">
        <v>60</v>
      </c>
      <c r="D69" s="98">
        <v>0</v>
      </c>
      <c r="E69" s="98">
        <v>0</v>
      </c>
      <c r="F69" s="98">
        <v>0</v>
      </c>
      <c r="G69" s="98">
        <f t="shared" si="0"/>
        <v>0</v>
      </c>
      <c r="H69" s="221" t="s">
        <v>383</v>
      </c>
      <c r="I69" s="223">
        <v>40533</v>
      </c>
      <c r="J69" s="217" t="s">
        <v>388</v>
      </c>
    </row>
    <row r="70" spans="1:10" ht="24.75" customHeight="1" thickBot="1">
      <c r="A70" s="218"/>
      <c r="B70" s="220"/>
      <c r="C70" s="98" t="s">
        <v>59</v>
      </c>
      <c r="D70" s="98">
        <v>0.25</v>
      </c>
      <c r="E70" s="98">
        <v>0.027</v>
      </c>
      <c r="F70" s="98">
        <v>0</v>
      </c>
      <c r="G70" s="98">
        <f t="shared" si="0"/>
        <v>0.223</v>
      </c>
      <c r="H70" s="222"/>
      <c r="I70" s="224"/>
      <c r="J70" s="218"/>
    </row>
    <row r="71" spans="1:10" ht="24.75" customHeight="1" thickBot="1">
      <c r="A71" s="217">
        <v>33</v>
      </c>
      <c r="B71" s="219" t="s">
        <v>421</v>
      </c>
      <c r="C71" s="98" t="s">
        <v>60</v>
      </c>
      <c r="D71" s="98">
        <v>0</v>
      </c>
      <c r="E71" s="98">
        <v>0</v>
      </c>
      <c r="F71" s="98">
        <v>0</v>
      </c>
      <c r="G71" s="98">
        <f t="shared" si="0"/>
        <v>0</v>
      </c>
      <c r="H71" s="221" t="s">
        <v>383</v>
      </c>
      <c r="I71" s="223">
        <v>40533</v>
      </c>
      <c r="J71" s="217" t="s">
        <v>388</v>
      </c>
    </row>
    <row r="72" spans="1:10" ht="24.75" customHeight="1" thickBot="1">
      <c r="A72" s="218"/>
      <c r="B72" s="220"/>
      <c r="C72" s="98" t="s">
        <v>59</v>
      </c>
      <c r="D72" s="98">
        <v>0.25</v>
      </c>
      <c r="E72" s="98">
        <v>0.011</v>
      </c>
      <c r="F72" s="98">
        <v>0</v>
      </c>
      <c r="G72" s="98">
        <f t="shared" si="0"/>
        <v>0.239</v>
      </c>
      <c r="H72" s="222"/>
      <c r="I72" s="224"/>
      <c r="J72" s="218"/>
    </row>
    <row r="73" spans="1:10" ht="24.75" customHeight="1" thickBot="1">
      <c r="A73" s="217">
        <v>34</v>
      </c>
      <c r="B73" s="219" t="s">
        <v>422</v>
      </c>
      <c r="C73" s="98" t="s">
        <v>60</v>
      </c>
      <c r="D73" s="98">
        <v>0</v>
      </c>
      <c r="E73" s="98">
        <v>0</v>
      </c>
      <c r="F73" s="98">
        <v>0</v>
      </c>
      <c r="G73" s="98">
        <f t="shared" si="0"/>
        <v>0</v>
      </c>
      <c r="H73" s="221" t="s">
        <v>383</v>
      </c>
      <c r="I73" s="223">
        <v>40533</v>
      </c>
      <c r="J73" s="217" t="s">
        <v>388</v>
      </c>
    </row>
    <row r="74" spans="1:10" ht="24.75" customHeight="1" thickBot="1">
      <c r="A74" s="218"/>
      <c r="B74" s="220"/>
      <c r="C74" s="98" t="s">
        <v>59</v>
      </c>
      <c r="D74" s="98">
        <v>0.4</v>
      </c>
      <c r="E74" s="98">
        <v>0.16</v>
      </c>
      <c r="F74" s="98">
        <v>0.015</v>
      </c>
      <c r="G74" s="98">
        <f aca="true" t="shared" si="1" ref="G74:G110">D74-E74-F74</f>
        <v>0.22500000000000003</v>
      </c>
      <c r="H74" s="222"/>
      <c r="I74" s="224"/>
      <c r="J74" s="218"/>
    </row>
    <row r="75" spans="1:10" ht="24.75" customHeight="1" thickBot="1">
      <c r="A75" s="217">
        <v>35</v>
      </c>
      <c r="B75" s="219" t="s">
        <v>423</v>
      </c>
      <c r="C75" s="98" t="s">
        <v>60</v>
      </c>
      <c r="D75" s="98">
        <v>0</v>
      </c>
      <c r="E75" s="98">
        <v>0</v>
      </c>
      <c r="F75" s="98">
        <v>0</v>
      </c>
      <c r="G75" s="98">
        <f t="shared" si="1"/>
        <v>0</v>
      </c>
      <c r="H75" s="221" t="s">
        <v>383</v>
      </c>
      <c r="I75" s="223">
        <v>40533</v>
      </c>
      <c r="J75" s="217" t="s">
        <v>388</v>
      </c>
    </row>
    <row r="76" spans="1:10" ht="24.75" customHeight="1" thickBot="1">
      <c r="A76" s="218"/>
      <c r="B76" s="220"/>
      <c r="C76" s="98" t="s">
        <v>59</v>
      </c>
      <c r="D76" s="98">
        <f>0.63*2</f>
        <v>1.26</v>
      </c>
      <c r="E76" s="98">
        <v>0.094</v>
      </c>
      <c r="F76" s="98">
        <f>0.03+0.156+0.03</f>
        <v>0.216</v>
      </c>
      <c r="G76" s="98">
        <f t="shared" si="1"/>
        <v>0.95</v>
      </c>
      <c r="H76" s="222"/>
      <c r="I76" s="224"/>
      <c r="J76" s="218"/>
    </row>
    <row r="77" spans="1:10" ht="24.75" customHeight="1" thickBot="1">
      <c r="A77" s="217">
        <v>36</v>
      </c>
      <c r="B77" s="219" t="s">
        <v>424</v>
      </c>
      <c r="C77" s="98" t="s">
        <v>60</v>
      </c>
      <c r="D77" s="98">
        <v>0</v>
      </c>
      <c r="E77" s="98">
        <v>0</v>
      </c>
      <c r="F77" s="98">
        <v>0</v>
      </c>
      <c r="G77" s="98">
        <f t="shared" si="1"/>
        <v>0</v>
      </c>
      <c r="H77" s="221" t="s">
        <v>383</v>
      </c>
      <c r="I77" s="223">
        <v>40533</v>
      </c>
      <c r="J77" s="217" t="s">
        <v>388</v>
      </c>
    </row>
    <row r="78" spans="1:10" ht="24.75" customHeight="1" thickBot="1">
      <c r="A78" s="218"/>
      <c r="B78" s="220"/>
      <c r="C78" s="98" t="s">
        <v>59</v>
      </c>
      <c r="D78" s="98">
        <v>0.4</v>
      </c>
      <c r="E78" s="98">
        <v>0.13</v>
      </c>
      <c r="F78" s="98">
        <v>0.07</v>
      </c>
      <c r="G78" s="98">
        <f t="shared" si="1"/>
        <v>0.2</v>
      </c>
      <c r="H78" s="222"/>
      <c r="I78" s="224"/>
      <c r="J78" s="218"/>
    </row>
    <row r="79" spans="1:10" ht="24.75" customHeight="1" thickBot="1">
      <c r="A79" s="217">
        <v>37</v>
      </c>
      <c r="B79" s="219" t="s">
        <v>425</v>
      </c>
      <c r="C79" s="98" t="s">
        <v>60</v>
      </c>
      <c r="D79" s="98">
        <v>0</v>
      </c>
      <c r="E79" s="98">
        <v>0</v>
      </c>
      <c r="F79" s="98">
        <v>0</v>
      </c>
      <c r="G79" s="98">
        <f t="shared" si="1"/>
        <v>0</v>
      </c>
      <c r="H79" s="221" t="s">
        <v>383</v>
      </c>
      <c r="I79" s="223">
        <v>40533</v>
      </c>
      <c r="J79" s="217" t="s">
        <v>388</v>
      </c>
    </row>
    <row r="80" spans="1:10" ht="24.75" customHeight="1" thickBot="1">
      <c r="A80" s="218"/>
      <c r="B80" s="220"/>
      <c r="C80" s="98" t="s">
        <v>59</v>
      </c>
      <c r="D80" s="98">
        <v>0.25</v>
      </c>
      <c r="E80" s="98">
        <v>0.12</v>
      </c>
      <c r="F80" s="98">
        <v>0.015</v>
      </c>
      <c r="G80" s="98">
        <f t="shared" si="1"/>
        <v>0.115</v>
      </c>
      <c r="H80" s="222"/>
      <c r="I80" s="224"/>
      <c r="J80" s="218"/>
    </row>
    <row r="81" spans="1:10" ht="24.75" customHeight="1" thickBot="1">
      <c r="A81" s="217">
        <v>38</v>
      </c>
      <c r="B81" s="219" t="s">
        <v>426</v>
      </c>
      <c r="C81" s="98" t="s">
        <v>60</v>
      </c>
      <c r="D81" s="98">
        <v>0</v>
      </c>
      <c r="E81" s="98">
        <v>0</v>
      </c>
      <c r="F81" s="98">
        <v>0</v>
      </c>
      <c r="G81" s="98">
        <f t="shared" si="1"/>
        <v>0</v>
      </c>
      <c r="H81" s="221" t="s">
        <v>383</v>
      </c>
      <c r="I81" s="223">
        <v>40533</v>
      </c>
      <c r="J81" s="217" t="s">
        <v>388</v>
      </c>
    </row>
    <row r="82" spans="1:10" ht="24.75" customHeight="1" thickBot="1">
      <c r="A82" s="218"/>
      <c r="B82" s="220"/>
      <c r="C82" s="98" t="s">
        <v>59</v>
      </c>
      <c r="D82" s="98">
        <v>0.63</v>
      </c>
      <c r="E82" s="98">
        <v>0.346</v>
      </c>
      <c r="F82" s="98">
        <f>0.1115+0.049+0.037+0.041+0.015</f>
        <v>0.2535</v>
      </c>
      <c r="G82" s="98">
        <f t="shared" si="1"/>
        <v>0.030500000000000027</v>
      </c>
      <c r="H82" s="222"/>
      <c r="I82" s="224"/>
      <c r="J82" s="218"/>
    </row>
    <row r="83" spans="1:10" ht="24.75" customHeight="1" thickBot="1">
      <c r="A83" s="217">
        <v>39</v>
      </c>
      <c r="B83" s="219" t="s">
        <v>427</v>
      </c>
      <c r="C83" s="98" t="s">
        <v>60</v>
      </c>
      <c r="D83" s="98">
        <v>0</v>
      </c>
      <c r="E83" s="98">
        <v>0</v>
      </c>
      <c r="F83" s="98">
        <v>0</v>
      </c>
      <c r="G83" s="98">
        <f t="shared" si="1"/>
        <v>0</v>
      </c>
      <c r="H83" s="221" t="s">
        <v>383</v>
      </c>
      <c r="I83" s="223">
        <v>40533</v>
      </c>
      <c r="J83" s="217" t="s">
        <v>388</v>
      </c>
    </row>
    <row r="84" spans="1:10" ht="24.75" customHeight="1" thickBot="1">
      <c r="A84" s="218"/>
      <c r="B84" s="220"/>
      <c r="C84" s="98" t="s">
        <v>59</v>
      </c>
      <c r="D84" s="98">
        <v>0.4</v>
      </c>
      <c r="E84" s="98">
        <v>0.073</v>
      </c>
      <c r="F84" s="98">
        <v>0.015</v>
      </c>
      <c r="G84" s="98">
        <f t="shared" si="1"/>
        <v>0.312</v>
      </c>
      <c r="H84" s="222"/>
      <c r="I84" s="224"/>
      <c r="J84" s="218"/>
    </row>
    <row r="85" spans="1:10" ht="24.75" customHeight="1" thickBot="1">
      <c r="A85" s="217">
        <v>40</v>
      </c>
      <c r="B85" s="219" t="s">
        <v>428</v>
      </c>
      <c r="C85" s="98" t="s">
        <v>60</v>
      </c>
      <c r="D85" s="98">
        <v>0</v>
      </c>
      <c r="E85" s="98">
        <v>0</v>
      </c>
      <c r="F85" s="98">
        <v>0</v>
      </c>
      <c r="G85" s="98">
        <f t="shared" si="1"/>
        <v>0</v>
      </c>
      <c r="H85" s="221" t="s">
        <v>383</v>
      </c>
      <c r="I85" s="223">
        <v>40533</v>
      </c>
      <c r="J85" s="217" t="s">
        <v>388</v>
      </c>
    </row>
    <row r="86" spans="1:10" ht="24.75" customHeight="1" thickBot="1">
      <c r="A86" s="218"/>
      <c r="B86" s="220"/>
      <c r="C86" s="98" t="s">
        <v>59</v>
      </c>
      <c r="D86" s="98">
        <v>0.63</v>
      </c>
      <c r="E86" s="98">
        <v>0.315</v>
      </c>
      <c r="F86" s="98">
        <v>0</v>
      </c>
      <c r="G86" s="98">
        <f t="shared" si="1"/>
        <v>0.315</v>
      </c>
      <c r="H86" s="222"/>
      <c r="I86" s="224"/>
      <c r="J86" s="218"/>
    </row>
    <row r="87" spans="1:10" ht="24.75" customHeight="1" thickBot="1">
      <c r="A87" s="217">
        <v>41</v>
      </c>
      <c r="B87" s="219" t="s">
        <v>429</v>
      </c>
      <c r="C87" s="98" t="s">
        <v>60</v>
      </c>
      <c r="D87" s="98">
        <v>0</v>
      </c>
      <c r="E87" s="98">
        <v>0</v>
      </c>
      <c r="F87" s="98">
        <v>0</v>
      </c>
      <c r="G87" s="98">
        <f t="shared" si="1"/>
        <v>0</v>
      </c>
      <c r="H87" s="221" t="s">
        <v>383</v>
      </c>
      <c r="I87" s="223">
        <v>40533</v>
      </c>
      <c r="J87" s="217" t="s">
        <v>388</v>
      </c>
    </row>
    <row r="88" spans="1:10" ht="24.75" customHeight="1" thickBot="1">
      <c r="A88" s="218"/>
      <c r="B88" s="220"/>
      <c r="C88" s="98" t="s">
        <v>59</v>
      </c>
      <c r="D88" s="98">
        <v>0.63</v>
      </c>
      <c r="E88" s="98">
        <v>0.398</v>
      </c>
      <c r="F88" s="98">
        <v>0</v>
      </c>
      <c r="G88" s="98">
        <f t="shared" si="1"/>
        <v>0.23199999999999998</v>
      </c>
      <c r="H88" s="222"/>
      <c r="I88" s="224"/>
      <c r="J88" s="218"/>
    </row>
    <row r="89" spans="1:10" ht="24.75" customHeight="1" thickBot="1">
      <c r="A89" s="217">
        <v>42</v>
      </c>
      <c r="B89" s="219" t="s">
        <v>430</v>
      </c>
      <c r="C89" s="98" t="s">
        <v>60</v>
      </c>
      <c r="D89" s="98">
        <v>0</v>
      </c>
      <c r="E89" s="98">
        <v>0</v>
      </c>
      <c r="F89" s="98">
        <v>0</v>
      </c>
      <c r="G89" s="98">
        <f t="shared" si="1"/>
        <v>0</v>
      </c>
      <c r="H89" s="221" t="s">
        <v>383</v>
      </c>
      <c r="I89" s="223">
        <v>40533</v>
      </c>
      <c r="J89" s="217" t="s">
        <v>388</v>
      </c>
    </row>
    <row r="90" spans="1:10" ht="24.75" customHeight="1" thickBot="1">
      <c r="A90" s="218"/>
      <c r="B90" s="220"/>
      <c r="C90" s="98" t="s">
        <v>59</v>
      </c>
      <c r="D90" s="98">
        <v>0.63</v>
      </c>
      <c r="E90" s="98">
        <v>0.35</v>
      </c>
      <c r="F90" s="98">
        <f>0.011+0.023+0.015+0.014+0.007</f>
        <v>0.07</v>
      </c>
      <c r="G90" s="98">
        <f t="shared" si="1"/>
        <v>0.21000000000000002</v>
      </c>
      <c r="H90" s="222"/>
      <c r="I90" s="224"/>
      <c r="J90" s="218"/>
    </row>
    <row r="91" spans="1:10" ht="24.75" customHeight="1" thickBot="1">
      <c r="A91" s="217">
        <v>43</v>
      </c>
      <c r="B91" s="219" t="s">
        <v>431</v>
      </c>
      <c r="C91" s="98" t="s">
        <v>60</v>
      </c>
      <c r="D91" s="98">
        <v>0</v>
      </c>
      <c r="E91" s="98">
        <v>0</v>
      </c>
      <c r="F91" s="98">
        <v>0</v>
      </c>
      <c r="G91" s="98">
        <f t="shared" si="1"/>
        <v>0</v>
      </c>
      <c r="H91" s="221" t="s">
        <v>383</v>
      </c>
      <c r="I91" s="223">
        <v>40533</v>
      </c>
      <c r="J91" s="217" t="s">
        <v>388</v>
      </c>
    </row>
    <row r="92" spans="1:10" ht="24.75" customHeight="1" thickBot="1">
      <c r="A92" s="218"/>
      <c r="B92" s="220"/>
      <c r="C92" s="98" t="s">
        <v>59</v>
      </c>
      <c r="D92" s="98">
        <v>0.4</v>
      </c>
      <c r="E92" s="98">
        <v>0.175</v>
      </c>
      <c r="F92" s="98">
        <v>0</v>
      </c>
      <c r="G92" s="98">
        <f t="shared" si="1"/>
        <v>0.22500000000000003</v>
      </c>
      <c r="H92" s="222"/>
      <c r="I92" s="224"/>
      <c r="J92" s="218"/>
    </row>
    <row r="93" spans="1:10" ht="24.75" customHeight="1" thickBot="1">
      <c r="A93" s="217">
        <v>44</v>
      </c>
      <c r="B93" s="219" t="s">
        <v>432</v>
      </c>
      <c r="C93" s="98" t="s">
        <v>60</v>
      </c>
      <c r="D93" s="98">
        <v>0</v>
      </c>
      <c r="E93" s="98">
        <v>0</v>
      </c>
      <c r="F93" s="98">
        <v>0</v>
      </c>
      <c r="G93" s="98">
        <f t="shared" si="1"/>
        <v>0</v>
      </c>
      <c r="H93" s="221" t="s">
        <v>383</v>
      </c>
      <c r="I93" s="223">
        <v>40533</v>
      </c>
      <c r="J93" s="217" t="s">
        <v>388</v>
      </c>
    </row>
    <row r="94" spans="1:10" ht="24.75" customHeight="1" thickBot="1">
      <c r="A94" s="218"/>
      <c r="B94" s="220"/>
      <c r="C94" s="98" t="s">
        <v>59</v>
      </c>
      <c r="D94" s="98">
        <f>0.25*2</f>
        <v>0.5</v>
      </c>
      <c r="E94" s="98">
        <v>0.102</v>
      </c>
      <c r="F94" s="98">
        <f>0.15</f>
        <v>0.15</v>
      </c>
      <c r="G94" s="98">
        <f t="shared" si="1"/>
        <v>0.24800000000000003</v>
      </c>
      <c r="H94" s="222"/>
      <c r="I94" s="224"/>
      <c r="J94" s="218"/>
    </row>
    <row r="95" spans="1:10" ht="24.75" customHeight="1" thickBot="1">
      <c r="A95" s="217">
        <v>45</v>
      </c>
      <c r="B95" s="219" t="s">
        <v>433</v>
      </c>
      <c r="C95" s="98" t="s">
        <v>60</v>
      </c>
      <c r="D95" s="98">
        <v>0</v>
      </c>
      <c r="E95" s="98">
        <v>0</v>
      </c>
      <c r="F95" s="98">
        <v>0</v>
      </c>
      <c r="G95" s="98">
        <f t="shared" si="1"/>
        <v>0</v>
      </c>
      <c r="H95" s="221" t="s">
        <v>383</v>
      </c>
      <c r="I95" s="223">
        <v>40533</v>
      </c>
      <c r="J95" s="217" t="s">
        <v>388</v>
      </c>
    </row>
    <row r="96" spans="1:10" ht="24.75" customHeight="1" thickBot="1">
      <c r="A96" s="218"/>
      <c r="B96" s="220"/>
      <c r="C96" s="98" t="s">
        <v>59</v>
      </c>
      <c r="D96" s="98">
        <v>0.63</v>
      </c>
      <c r="E96" s="98">
        <v>0.157</v>
      </c>
      <c r="F96" s="98">
        <v>0</v>
      </c>
      <c r="G96" s="98">
        <f t="shared" si="1"/>
        <v>0.473</v>
      </c>
      <c r="H96" s="222"/>
      <c r="I96" s="224"/>
      <c r="J96" s="218"/>
    </row>
    <row r="97" spans="1:10" ht="24.75" customHeight="1" thickBot="1">
      <c r="A97" s="217">
        <v>46</v>
      </c>
      <c r="B97" s="219" t="s">
        <v>434</v>
      </c>
      <c r="C97" s="98" t="s">
        <v>60</v>
      </c>
      <c r="D97" s="98">
        <v>0</v>
      </c>
      <c r="E97" s="98">
        <v>0</v>
      </c>
      <c r="F97" s="98">
        <v>0</v>
      </c>
      <c r="G97" s="98">
        <f t="shared" si="1"/>
        <v>0</v>
      </c>
      <c r="H97" s="221" t="s">
        <v>383</v>
      </c>
      <c r="I97" s="223">
        <v>40533</v>
      </c>
      <c r="J97" s="217" t="s">
        <v>388</v>
      </c>
    </row>
    <row r="98" spans="1:10" ht="24.75" customHeight="1" thickBot="1">
      <c r="A98" s="218"/>
      <c r="B98" s="220"/>
      <c r="C98" s="98" t="s">
        <v>59</v>
      </c>
      <c r="D98" s="98">
        <v>0.16</v>
      </c>
      <c r="E98" s="98">
        <v>0.05</v>
      </c>
      <c r="F98" s="98">
        <f>0.01+0.02+0.022-0.015</f>
        <v>0.037</v>
      </c>
      <c r="G98" s="98">
        <f t="shared" si="1"/>
        <v>0.07300000000000001</v>
      </c>
      <c r="H98" s="222"/>
      <c r="I98" s="224"/>
      <c r="J98" s="218"/>
    </row>
    <row r="99" spans="1:10" ht="24.75" customHeight="1" thickBot="1">
      <c r="A99" s="217">
        <v>47</v>
      </c>
      <c r="B99" s="219" t="s">
        <v>435</v>
      </c>
      <c r="C99" s="98" t="s">
        <v>60</v>
      </c>
      <c r="D99" s="98">
        <v>0</v>
      </c>
      <c r="E99" s="98">
        <v>0</v>
      </c>
      <c r="F99" s="98">
        <v>0</v>
      </c>
      <c r="G99" s="98">
        <f t="shared" si="1"/>
        <v>0</v>
      </c>
      <c r="H99" s="221" t="s">
        <v>383</v>
      </c>
      <c r="I99" s="223">
        <v>40533</v>
      </c>
      <c r="J99" s="217" t="s">
        <v>388</v>
      </c>
    </row>
    <row r="100" spans="1:10" ht="24.75" customHeight="1" thickBot="1">
      <c r="A100" s="218"/>
      <c r="B100" s="220"/>
      <c r="C100" s="98" t="s">
        <v>59</v>
      </c>
      <c r="D100" s="98">
        <v>0.25</v>
      </c>
      <c r="E100" s="98">
        <v>0.086</v>
      </c>
      <c r="F100" s="98">
        <v>0</v>
      </c>
      <c r="G100" s="98">
        <f t="shared" si="1"/>
        <v>0.164</v>
      </c>
      <c r="H100" s="222"/>
      <c r="I100" s="224"/>
      <c r="J100" s="218"/>
    </row>
    <row r="101" spans="1:10" ht="24.75" customHeight="1" thickBot="1">
      <c r="A101" s="217">
        <v>48</v>
      </c>
      <c r="B101" s="219" t="s">
        <v>436</v>
      </c>
      <c r="C101" s="98" t="s">
        <v>60</v>
      </c>
      <c r="D101" s="98">
        <v>0</v>
      </c>
      <c r="E101" s="98">
        <v>0</v>
      </c>
      <c r="F101" s="98">
        <v>0</v>
      </c>
      <c r="G101" s="98">
        <f t="shared" si="1"/>
        <v>0</v>
      </c>
      <c r="H101" s="221" t="s">
        <v>383</v>
      </c>
      <c r="I101" s="223">
        <v>40533</v>
      </c>
      <c r="J101" s="217" t="s">
        <v>388</v>
      </c>
    </row>
    <row r="102" spans="1:10" ht="24.75" customHeight="1" thickBot="1">
      <c r="A102" s="218"/>
      <c r="B102" s="220"/>
      <c r="C102" s="98" t="s">
        <v>59</v>
      </c>
      <c r="D102" s="98">
        <v>0.25</v>
      </c>
      <c r="E102" s="98">
        <v>0.028</v>
      </c>
      <c r="F102" s="98">
        <v>0</v>
      </c>
      <c r="G102" s="98">
        <f t="shared" si="1"/>
        <v>0.222</v>
      </c>
      <c r="H102" s="222"/>
      <c r="I102" s="224"/>
      <c r="J102" s="218"/>
    </row>
    <row r="103" spans="1:10" ht="24.75" customHeight="1" thickBot="1">
      <c r="A103" s="217">
        <v>49</v>
      </c>
      <c r="B103" s="219" t="s">
        <v>437</v>
      </c>
      <c r="C103" s="98" t="s">
        <v>60</v>
      </c>
      <c r="D103" s="98">
        <v>0</v>
      </c>
      <c r="E103" s="98">
        <v>0</v>
      </c>
      <c r="F103" s="98">
        <v>0</v>
      </c>
      <c r="G103" s="98">
        <f t="shared" si="1"/>
        <v>0</v>
      </c>
      <c r="H103" s="221" t="s">
        <v>383</v>
      </c>
      <c r="I103" s="223">
        <v>40533</v>
      </c>
      <c r="J103" s="217" t="s">
        <v>388</v>
      </c>
    </row>
    <row r="104" spans="1:10" ht="24.75" customHeight="1" thickBot="1">
      <c r="A104" s="218"/>
      <c r="B104" s="220"/>
      <c r="C104" s="98" t="s">
        <v>59</v>
      </c>
      <c r="D104" s="98">
        <v>0.63</v>
      </c>
      <c r="E104" s="98">
        <v>0.086</v>
      </c>
      <c r="F104" s="98">
        <v>0</v>
      </c>
      <c r="G104" s="98">
        <f t="shared" si="1"/>
        <v>0.544</v>
      </c>
      <c r="H104" s="222"/>
      <c r="I104" s="224"/>
      <c r="J104" s="218"/>
    </row>
    <row r="105" spans="1:10" ht="24.75" customHeight="1" thickBot="1">
      <c r="A105" s="217">
        <v>50</v>
      </c>
      <c r="B105" s="219" t="s">
        <v>438</v>
      </c>
      <c r="C105" s="98" t="s">
        <v>60</v>
      </c>
      <c r="D105" s="98">
        <v>0</v>
      </c>
      <c r="E105" s="98">
        <v>0</v>
      </c>
      <c r="F105" s="98">
        <v>0</v>
      </c>
      <c r="G105" s="98">
        <f t="shared" si="1"/>
        <v>0</v>
      </c>
      <c r="H105" s="221" t="s">
        <v>383</v>
      </c>
      <c r="I105" s="223">
        <v>40533</v>
      </c>
      <c r="J105" s="217" t="s">
        <v>388</v>
      </c>
    </row>
    <row r="106" spans="1:10" ht="24.75" customHeight="1" thickBot="1">
      <c r="A106" s="218"/>
      <c r="B106" s="220"/>
      <c r="C106" s="98" t="s">
        <v>59</v>
      </c>
      <c r="D106" s="98">
        <v>0.63</v>
      </c>
      <c r="E106" s="98">
        <v>0.319</v>
      </c>
      <c r="F106" s="98">
        <v>0</v>
      </c>
      <c r="G106" s="98">
        <f t="shared" si="1"/>
        <v>0.311</v>
      </c>
      <c r="H106" s="222"/>
      <c r="I106" s="224"/>
      <c r="J106" s="218"/>
    </row>
    <row r="107" spans="1:10" ht="24.75" customHeight="1" thickBot="1">
      <c r="A107" s="217">
        <v>51</v>
      </c>
      <c r="B107" s="219" t="s">
        <v>439</v>
      </c>
      <c r="C107" s="98" t="s">
        <v>60</v>
      </c>
      <c r="D107" s="98">
        <v>0</v>
      </c>
      <c r="E107" s="98">
        <v>0</v>
      </c>
      <c r="F107" s="98">
        <v>0</v>
      </c>
      <c r="G107" s="98">
        <f t="shared" si="1"/>
        <v>0</v>
      </c>
      <c r="H107" s="221" t="s">
        <v>383</v>
      </c>
      <c r="I107" s="223">
        <v>40533</v>
      </c>
      <c r="J107" s="217" t="s">
        <v>388</v>
      </c>
    </row>
    <row r="108" spans="1:10" ht="24.75" customHeight="1" thickBot="1">
      <c r="A108" s="218"/>
      <c r="B108" s="220"/>
      <c r="C108" s="98" t="s">
        <v>59</v>
      </c>
      <c r="D108" s="98">
        <v>0.4</v>
      </c>
      <c r="E108" s="98">
        <v>0.195</v>
      </c>
      <c r="F108" s="98">
        <v>0</v>
      </c>
      <c r="G108" s="98">
        <f t="shared" si="1"/>
        <v>0.20500000000000002</v>
      </c>
      <c r="H108" s="222"/>
      <c r="I108" s="224"/>
      <c r="J108" s="218"/>
    </row>
    <row r="109" spans="1:10" ht="24.75" customHeight="1" thickBot="1">
      <c r="A109" s="217">
        <v>52</v>
      </c>
      <c r="B109" s="219" t="s">
        <v>440</v>
      </c>
      <c r="C109" s="98" t="s">
        <v>60</v>
      </c>
      <c r="D109" s="98">
        <v>0</v>
      </c>
      <c r="E109" s="98">
        <v>0</v>
      </c>
      <c r="F109" s="98">
        <v>0</v>
      </c>
      <c r="G109" s="98">
        <f t="shared" si="1"/>
        <v>0</v>
      </c>
      <c r="H109" s="221" t="s">
        <v>383</v>
      </c>
      <c r="I109" s="223">
        <v>40533</v>
      </c>
      <c r="J109" s="217" t="s">
        <v>388</v>
      </c>
    </row>
    <row r="110" spans="1:10" ht="24.75" customHeight="1" thickBot="1">
      <c r="A110" s="218"/>
      <c r="B110" s="220"/>
      <c r="C110" s="98" t="s">
        <v>59</v>
      </c>
      <c r="D110" s="98">
        <v>0.16</v>
      </c>
      <c r="E110" s="98">
        <v>0.021</v>
      </c>
      <c r="F110" s="98">
        <v>0</v>
      </c>
      <c r="G110" s="98">
        <f t="shared" si="1"/>
        <v>0.139</v>
      </c>
      <c r="H110" s="222"/>
      <c r="I110" s="224"/>
      <c r="J110" s="218"/>
    </row>
    <row r="111" spans="1:10" ht="24.75" customHeight="1" thickBot="1">
      <c r="A111" s="217">
        <v>53</v>
      </c>
      <c r="B111" s="219" t="s">
        <v>441</v>
      </c>
      <c r="C111" s="98" t="s">
        <v>60</v>
      </c>
      <c r="D111" s="98">
        <v>0</v>
      </c>
      <c r="E111" s="98">
        <v>0</v>
      </c>
      <c r="F111" s="98">
        <v>0</v>
      </c>
      <c r="G111" s="98">
        <v>0</v>
      </c>
      <c r="H111" s="221" t="s">
        <v>383</v>
      </c>
      <c r="I111" s="223">
        <v>40533</v>
      </c>
      <c r="J111" s="217" t="s">
        <v>388</v>
      </c>
    </row>
    <row r="112" spans="1:10" ht="24.75" customHeight="1" thickBot="1">
      <c r="A112" s="218"/>
      <c r="B112" s="220"/>
      <c r="C112" s="98" t="s">
        <v>59</v>
      </c>
      <c r="D112" s="98">
        <v>0.16</v>
      </c>
      <c r="E112" s="98">
        <v>0</v>
      </c>
      <c r="F112" s="98">
        <v>0</v>
      </c>
      <c r="G112" s="98">
        <f>D112-E112-F112</f>
        <v>0.16</v>
      </c>
      <c r="H112" s="222"/>
      <c r="I112" s="224"/>
      <c r="J112" s="218"/>
    </row>
    <row r="113" spans="1:10" ht="24.75" customHeight="1" thickBot="1">
      <c r="A113" s="217">
        <v>54</v>
      </c>
      <c r="B113" s="219" t="s">
        <v>442</v>
      </c>
      <c r="C113" s="98" t="s">
        <v>60</v>
      </c>
      <c r="D113" s="98">
        <v>0</v>
      </c>
      <c r="E113" s="98">
        <v>0</v>
      </c>
      <c r="F113" s="98">
        <v>0</v>
      </c>
      <c r="G113" s="101">
        <v>0</v>
      </c>
      <c r="H113" s="221" t="s">
        <v>383</v>
      </c>
      <c r="I113" s="223">
        <v>40533</v>
      </c>
      <c r="J113" s="217" t="s">
        <v>388</v>
      </c>
    </row>
    <row r="114" spans="1:10" ht="24.75" customHeight="1" thickBot="1">
      <c r="A114" s="218"/>
      <c r="B114" s="220"/>
      <c r="C114" s="98" t="s">
        <v>59</v>
      </c>
      <c r="D114" s="98">
        <v>0.4</v>
      </c>
      <c r="E114" s="98">
        <v>0.18</v>
      </c>
      <c r="F114" s="98">
        <v>0</v>
      </c>
      <c r="G114" s="101">
        <f>D114-E114-F114</f>
        <v>0.22000000000000003</v>
      </c>
      <c r="H114" s="222"/>
      <c r="I114" s="224"/>
      <c r="J114" s="218"/>
    </row>
    <row r="115" spans="1:10" ht="24.75" customHeight="1" thickBot="1">
      <c r="A115" s="217">
        <v>55</v>
      </c>
      <c r="B115" s="219" t="s">
        <v>443</v>
      </c>
      <c r="C115" s="98" t="s">
        <v>60</v>
      </c>
      <c r="D115" s="98">
        <v>0</v>
      </c>
      <c r="E115" s="98">
        <v>0</v>
      </c>
      <c r="F115" s="98">
        <v>0</v>
      </c>
      <c r="G115" s="101">
        <f aca="true" t="shared" si="2" ref="G115:G125">D115-E115-F115</f>
        <v>0</v>
      </c>
      <c r="H115" s="221" t="s">
        <v>383</v>
      </c>
      <c r="I115" s="223">
        <v>40533</v>
      </c>
      <c r="J115" s="217" t="s">
        <v>388</v>
      </c>
    </row>
    <row r="116" spans="1:10" ht="24.75" customHeight="1" thickBot="1">
      <c r="A116" s="218"/>
      <c r="B116" s="220"/>
      <c r="C116" s="98" t="s">
        <v>59</v>
      </c>
      <c r="D116" s="98">
        <v>0.4</v>
      </c>
      <c r="E116" s="98">
        <v>0.279</v>
      </c>
      <c r="F116" s="98">
        <v>0</v>
      </c>
      <c r="G116" s="101">
        <f t="shared" si="2"/>
        <v>0.121</v>
      </c>
      <c r="H116" s="222"/>
      <c r="I116" s="224"/>
      <c r="J116" s="218"/>
    </row>
    <row r="117" spans="1:10" ht="24.75" customHeight="1" thickBot="1">
      <c r="A117" s="217">
        <v>56</v>
      </c>
      <c r="B117" s="219" t="s">
        <v>444</v>
      </c>
      <c r="C117" s="98" t="s">
        <v>60</v>
      </c>
      <c r="D117" s="98">
        <v>0</v>
      </c>
      <c r="E117" s="98">
        <v>0</v>
      </c>
      <c r="F117" s="98">
        <v>0</v>
      </c>
      <c r="G117" s="101">
        <f t="shared" si="2"/>
        <v>0</v>
      </c>
      <c r="H117" s="221" t="s">
        <v>383</v>
      </c>
      <c r="I117" s="223">
        <v>40533</v>
      </c>
      <c r="J117" s="217" t="s">
        <v>388</v>
      </c>
    </row>
    <row r="118" spans="1:10" ht="24.75" customHeight="1" thickBot="1">
      <c r="A118" s="218"/>
      <c r="B118" s="220"/>
      <c r="C118" s="98" t="s">
        <v>59</v>
      </c>
      <c r="D118" s="98">
        <v>0.63</v>
      </c>
      <c r="E118" s="98">
        <v>0.096</v>
      </c>
      <c r="F118" s="98">
        <v>0</v>
      </c>
      <c r="G118" s="101">
        <f t="shared" si="2"/>
        <v>0.534</v>
      </c>
      <c r="H118" s="222"/>
      <c r="I118" s="224"/>
      <c r="J118" s="218"/>
    </row>
    <row r="119" spans="1:10" ht="24.75" customHeight="1" thickBot="1">
      <c r="A119" s="217">
        <v>57</v>
      </c>
      <c r="B119" s="219" t="s">
        <v>445</v>
      </c>
      <c r="C119" s="98" t="s">
        <v>60</v>
      </c>
      <c r="D119" s="98">
        <v>0</v>
      </c>
      <c r="E119" s="98">
        <v>0</v>
      </c>
      <c r="F119" s="98">
        <v>0</v>
      </c>
      <c r="G119" s="101">
        <f t="shared" si="2"/>
        <v>0</v>
      </c>
      <c r="H119" s="221" t="s">
        <v>383</v>
      </c>
      <c r="I119" s="223">
        <v>40533</v>
      </c>
      <c r="J119" s="217" t="s">
        <v>388</v>
      </c>
    </row>
    <row r="120" spans="1:10" ht="24.75" customHeight="1" thickBot="1">
      <c r="A120" s="218"/>
      <c r="B120" s="220"/>
      <c r="C120" s="98" t="s">
        <v>59</v>
      </c>
      <c r="D120" s="98">
        <v>0.63</v>
      </c>
      <c r="E120" s="98">
        <v>0.14</v>
      </c>
      <c r="F120" s="98">
        <v>0</v>
      </c>
      <c r="G120" s="101">
        <f t="shared" si="2"/>
        <v>0.49</v>
      </c>
      <c r="H120" s="222"/>
      <c r="I120" s="224"/>
      <c r="J120" s="218"/>
    </row>
    <row r="121" spans="1:10" ht="24.75" customHeight="1" thickBot="1">
      <c r="A121" s="217">
        <v>58</v>
      </c>
      <c r="B121" s="219" t="s">
        <v>446</v>
      </c>
      <c r="C121" s="98" t="s">
        <v>60</v>
      </c>
      <c r="D121" s="98">
        <v>0</v>
      </c>
      <c r="E121" s="98">
        <v>0</v>
      </c>
      <c r="F121" s="98">
        <v>0</v>
      </c>
      <c r="G121" s="101">
        <f t="shared" si="2"/>
        <v>0</v>
      </c>
      <c r="H121" s="221" t="s">
        <v>383</v>
      </c>
      <c r="I121" s="223">
        <v>40533</v>
      </c>
      <c r="J121" s="217" t="s">
        <v>388</v>
      </c>
    </row>
    <row r="122" spans="1:10" ht="24.75" customHeight="1" thickBot="1">
      <c r="A122" s="218"/>
      <c r="B122" s="220"/>
      <c r="C122" s="98" t="s">
        <v>59</v>
      </c>
      <c r="D122" s="98">
        <v>0.63</v>
      </c>
      <c r="E122" s="98">
        <v>0.15</v>
      </c>
      <c r="F122" s="98">
        <f>0.015+0.04</f>
        <v>0.055</v>
      </c>
      <c r="G122" s="101">
        <f t="shared" si="2"/>
        <v>0.425</v>
      </c>
      <c r="H122" s="222"/>
      <c r="I122" s="224"/>
      <c r="J122" s="218"/>
    </row>
    <row r="123" spans="1:10" ht="24.75" customHeight="1" thickBot="1">
      <c r="A123" s="217">
        <v>59</v>
      </c>
      <c r="B123" s="219" t="s">
        <v>447</v>
      </c>
      <c r="C123" s="98" t="s">
        <v>60</v>
      </c>
      <c r="D123" s="98">
        <v>0</v>
      </c>
      <c r="E123" s="98">
        <v>0</v>
      </c>
      <c r="F123" s="98">
        <v>0</v>
      </c>
      <c r="G123" s="101">
        <f t="shared" si="2"/>
        <v>0</v>
      </c>
      <c r="H123" s="221" t="s">
        <v>383</v>
      </c>
      <c r="I123" s="223">
        <v>40533</v>
      </c>
      <c r="J123" s="217" t="s">
        <v>388</v>
      </c>
    </row>
    <row r="124" spans="1:10" ht="24.75" customHeight="1" thickBot="1">
      <c r="A124" s="218"/>
      <c r="B124" s="220"/>
      <c r="C124" s="98" t="s">
        <v>59</v>
      </c>
      <c r="D124" s="98">
        <v>1</v>
      </c>
      <c r="E124" s="98">
        <v>0.315</v>
      </c>
      <c r="F124" s="98">
        <v>0</v>
      </c>
      <c r="G124" s="101">
        <f t="shared" si="2"/>
        <v>0.685</v>
      </c>
      <c r="H124" s="222"/>
      <c r="I124" s="224"/>
      <c r="J124" s="218"/>
    </row>
    <row r="125" spans="1:10" ht="24.75" customHeight="1" thickBot="1">
      <c r="A125" s="217">
        <v>60</v>
      </c>
      <c r="B125" s="219" t="s">
        <v>448</v>
      </c>
      <c r="C125" s="98" t="s">
        <v>60</v>
      </c>
      <c r="D125" s="98">
        <v>0</v>
      </c>
      <c r="E125" s="98">
        <v>0</v>
      </c>
      <c r="F125" s="98">
        <v>0</v>
      </c>
      <c r="G125" s="101">
        <f t="shared" si="2"/>
        <v>0</v>
      </c>
      <c r="H125" s="221" t="s">
        <v>383</v>
      </c>
      <c r="I125" s="223">
        <v>40533</v>
      </c>
      <c r="J125" s="217" t="s">
        <v>388</v>
      </c>
    </row>
    <row r="126" spans="1:10" ht="24.75" customHeight="1" thickBot="1">
      <c r="A126" s="218"/>
      <c r="B126" s="220"/>
      <c r="C126" s="98" t="s">
        <v>59</v>
      </c>
      <c r="D126" s="98">
        <v>1</v>
      </c>
      <c r="E126" s="98">
        <v>0.05</v>
      </c>
      <c r="F126" s="98">
        <f>0.1155</f>
        <v>0.1155</v>
      </c>
      <c r="G126" s="101">
        <f>D126-E126-F126</f>
        <v>0.8344999999999999</v>
      </c>
      <c r="H126" s="222"/>
      <c r="I126" s="224"/>
      <c r="J126" s="218"/>
    </row>
    <row r="127" ht="24.75" customHeight="1">
      <c r="A127" s="118"/>
    </row>
    <row r="128" ht="24.75" customHeight="1">
      <c r="A128" s="119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2022-12-29T11:14:52Z</cp:lastPrinted>
  <dcterms:created xsi:type="dcterms:W3CDTF">1996-10-08T23:32:33Z</dcterms:created>
  <dcterms:modified xsi:type="dcterms:W3CDTF">2023-10-05T09:04:19Z</dcterms:modified>
  <cp:category/>
  <cp:version/>
  <cp:contentType/>
  <cp:contentStatus/>
</cp:coreProperties>
</file>